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correa\Documents\adriana_correa_2019\Plan de Adquisiciones\plan adquisiciones ultima version 2018\"/>
    </mc:Choice>
  </mc:AlternateContent>
  <bookViews>
    <workbookView xWindow="0" yWindow="0" windowWidth="20490" windowHeight="7065" firstSheet="1" activeTab="1"/>
  </bookViews>
  <sheets>
    <sheet name="Plan de Compras-2013" sheetId="6" state="hidden" r:id="rId1"/>
    <sheet name=" INVERSIÓN" sheetId="16" r:id="rId2"/>
    <sheet name="funcionamiento " sheetId="21" r:id="rId3"/>
    <sheet name="Hoja1" sheetId="42" r:id="rId4"/>
    <sheet name="listas" sheetId="26" r:id="rId5"/>
    <sheet name="resumen" sheetId="23" r:id="rId6"/>
  </sheets>
  <externalReferences>
    <externalReference r:id="rId7"/>
    <externalReference r:id="rId8"/>
    <externalReference r:id="rId9"/>
    <externalReference r:id="rId10"/>
  </externalReferences>
  <definedNames>
    <definedName name="_xlnm._FilterDatabase" localSheetId="1" hidden="1">' INVERSIÓN'!$AA$14:$AG$204</definedName>
    <definedName name="_xlnm._FilterDatabase" localSheetId="2" hidden="1">'funcionamiento '!$L$8:$AA$99</definedName>
    <definedName name="_xlnm._FilterDatabase" localSheetId="0" hidden="1">'Plan de Compras-2013'!$B$17:$AQ$264</definedName>
    <definedName name="_xlnm.Print_Area" localSheetId="1">' INVERSIÓN'!$A$1:$AF$748</definedName>
    <definedName name="_xlnm.Print_Area" localSheetId="2">'funcionamiento '!$A$1:$AE$99</definedName>
    <definedName name="listas">[1]listas!$C$1:$C$8</definedName>
    <definedName name="modalidad" localSheetId="2">[2]listas!$C$1:$C$8</definedName>
    <definedName name="modalidad">#REF!</definedName>
    <definedName name="_xlnm.Print_Titles" localSheetId="1">' INVERSIÓN'!$166:$171</definedName>
    <definedName name="_xlnm.Print_Titles" localSheetId="2">'funcionamiento '!$7:$8</definedName>
    <definedName name="_xlnm.Print_Titles" localSheetId="0">'Plan de Compras-2013'!$1:$17</definedName>
  </definedNames>
  <calcPr calcId="162913"/>
</workbook>
</file>

<file path=xl/calcChain.xml><?xml version="1.0" encoding="utf-8"?>
<calcChain xmlns="http://schemas.openxmlformats.org/spreadsheetml/2006/main">
  <c r="AA61" i="21" l="1"/>
  <c r="W161" i="16"/>
  <c r="Q56" i="21" l="1"/>
  <c r="AE91" i="21" l="1"/>
  <c r="AE44" i="21"/>
  <c r="AI114" i="16"/>
  <c r="AI56" i="16"/>
  <c r="AI190" i="16" l="1"/>
  <c r="U91" i="21"/>
  <c r="X91" i="21" s="1"/>
  <c r="X89" i="21"/>
  <c r="AE81" i="21" l="1"/>
  <c r="AE73" i="21"/>
  <c r="AE41" i="21"/>
  <c r="AD200" i="16"/>
  <c r="AI36" i="16"/>
  <c r="U77" i="21"/>
  <c r="U38" i="21"/>
  <c r="X36" i="21"/>
  <c r="U55" i="21"/>
  <c r="Q55" i="21"/>
  <c r="X82" i="21" l="1"/>
  <c r="U75" i="21"/>
  <c r="U67" i="21"/>
  <c r="U56" i="21"/>
  <c r="U50" i="21"/>
  <c r="U43" i="21"/>
  <c r="X23" i="21"/>
  <c r="X12" i="21"/>
  <c r="AD160" i="16"/>
  <c r="V161" i="16"/>
  <c r="AD161" i="16"/>
  <c r="Q12" i="21" l="1"/>
  <c r="Q13" i="21"/>
  <c r="Q88" i="21"/>
  <c r="Q86" i="21"/>
  <c r="T89" i="21"/>
  <c r="Q87" i="21"/>
  <c r="T87" i="21" s="1"/>
  <c r="Z161" i="16"/>
  <c r="W156" i="16"/>
  <c r="X86" i="21" l="1"/>
  <c r="V73" i="21"/>
  <c r="V92" i="21" s="1"/>
  <c r="W73" i="21"/>
  <c r="W92" i="21" s="1"/>
  <c r="U73" i="21"/>
  <c r="X72" i="21"/>
  <c r="X73" i="21" s="1"/>
  <c r="Q33" i="21" l="1"/>
  <c r="T33" i="21" s="1"/>
  <c r="X32" i="21"/>
  <c r="Q35" i="21" l="1"/>
  <c r="T68" i="21"/>
  <c r="Q9" i="21" l="1"/>
  <c r="T13" i="21"/>
  <c r="T35" i="21"/>
  <c r="Q37" i="21"/>
  <c r="T36" i="21"/>
  <c r="Q20" i="21"/>
  <c r="Q30" i="21"/>
  <c r="AA259" i="16"/>
  <c r="AB259" i="16"/>
  <c r="AB260" i="16" l="1"/>
  <c r="Q71" i="21"/>
  <c r="Q72" i="21"/>
  <c r="T30" i="21" l="1"/>
  <c r="X40" i="21" l="1"/>
  <c r="U41" i="21"/>
  <c r="X41" i="21" s="1"/>
  <c r="X79" i="21" l="1"/>
  <c r="Q80" i="21"/>
  <c r="T80" i="21" s="1"/>
  <c r="Q73" i="21"/>
  <c r="Q78" i="21"/>
  <c r="Q91" i="21"/>
  <c r="T88" i="21"/>
  <c r="Q81" i="21" l="1"/>
  <c r="AD68" i="16"/>
  <c r="AA201" i="16"/>
  <c r="AE85" i="21"/>
  <c r="Q79" i="21"/>
  <c r="AB78" i="21"/>
  <c r="AE77" i="21"/>
  <c r="AE76" i="21"/>
  <c r="AE75" i="21"/>
  <c r="AE74" i="21"/>
  <c r="W149" i="16"/>
  <c r="Z149" i="16" s="1"/>
  <c r="R91" i="21" l="1"/>
  <c r="S91" i="21"/>
  <c r="R69" i="21"/>
  <c r="S69" i="21"/>
  <c r="R38" i="21"/>
  <c r="S38" i="21"/>
  <c r="T37" i="21"/>
  <c r="AD77" i="16"/>
  <c r="AD157" i="16"/>
  <c r="AD158" i="16"/>
  <c r="AD78" i="16"/>
  <c r="Z156" i="16" l="1"/>
  <c r="AD155" i="16"/>
  <c r="T25" i="21" l="1"/>
  <c r="P25" i="21"/>
  <c r="Z200" i="16"/>
  <c r="V200" i="16"/>
  <c r="W198" i="16"/>
  <c r="W197" i="16"/>
  <c r="Q59" i="21" l="1"/>
  <c r="Q54" i="21"/>
  <c r="Q53" i="21"/>
  <c r="Y181" i="16"/>
  <c r="AD159" i="16"/>
  <c r="AD79" i="16"/>
  <c r="Z68" i="16" l="1"/>
  <c r="V68" i="16"/>
  <c r="V160" i="16" l="1"/>
  <c r="Z159" i="16"/>
  <c r="V159" i="16"/>
  <c r="Z158" i="16"/>
  <c r="V158" i="16"/>
  <c r="Z157" i="16"/>
  <c r="V157" i="16"/>
  <c r="Z79" i="16"/>
  <c r="Z78" i="16"/>
  <c r="V79" i="16"/>
  <c r="V78" i="16"/>
  <c r="Z77" i="16"/>
  <c r="V77" i="16"/>
  <c r="W151" i="16"/>
  <c r="W74" i="16"/>
  <c r="T32" i="21" l="1"/>
  <c r="P32" i="21"/>
  <c r="Q31" i="21" l="1"/>
  <c r="X29" i="21"/>
  <c r="AD154" i="16" l="1"/>
  <c r="AD153" i="16"/>
  <c r="AD111" i="16"/>
  <c r="AD110" i="16"/>
  <c r="AD34" i="16"/>
  <c r="R96" i="21" l="1"/>
  <c r="S96" i="21"/>
  <c r="Q66" i="21"/>
  <c r="Q64" i="21"/>
  <c r="Q39" i="21"/>
  <c r="Q41" i="21" s="1"/>
  <c r="Z155" i="16"/>
  <c r="V155" i="16"/>
  <c r="V76" i="16"/>
  <c r="V198" i="16"/>
  <c r="Z198" i="16"/>
  <c r="Z197" i="16"/>
  <c r="W196" i="16"/>
  <c r="V197" i="16"/>
  <c r="Z76" i="16"/>
  <c r="V154" i="16"/>
  <c r="Z154" i="16"/>
  <c r="Z153" i="16"/>
  <c r="V153" i="16"/>
  <c r="W144" i="16"/>
  <c r="W70" i="16"/>
  <c r="R41" i="21"/>
  <c r="S41" i="21"/>
  <c r="Q40" i="21"/>
  <c r="T40" i="21" s="1"/>
  <c r="P40" i="21"/>
  <c r="T72" i="21"/>
  <c r="P72" i="21"/>
  <c r="Z144" i="16" l="1"/>
  <c r="AD143" i="16"/>
  <c r="Z143" i="16"/>
  <c r="V143" i="16"/>
  <c r="AD69" i="16"/>
  <c r="Z70" i="16"/>
  <c r="AD51" i="16"/>
  <c r="X101" i="16"/>
  <c r="Z101" i="16" s="1"/>
  <c r="B103" i="16"/>
  <c r="C103" i="16"/>
  <c r="D103" i="16"/>
  <c r="E103" i="16"/>
  <c r="F103" i="16"/>
  <c r="F47" i="16"/>
  <c r="X23" i="16"/>
  <c r="Y23" i="16"/>
  <c r="W22" i="16"/>
  <c r="Z22" i="16" s="1"/>
  <c r="Z23" i="16" s="1"/>
  <c r="Z102" i="16"/>
  <c r="AD105" i="16"/>
  <c r="AD150" i="16"/>
  <c r="AB80" i="16"/>
  <c r="AB81" i="16" s="1"/>
  <c r="AC80" i="16"/>
  <c r="AD75" i="16"/>
  <c r="AD104" i="16"/>
  <c r="V69" i="16"/>
  <c r="AD113" i="16"/>
  <c r="AD109" i="16"/>
  <c r="X83" i="21"/>
  <c r="X60" i="21"/>
  <c r="X22" i="21"/>
  <c r="V38" i="21"/>
  <c r="W38" i="21"/>
  <c r="AD112" i="16"/>
  <c r="AD43" i="16"/>
  <c r="AD44" i="16"/>
  <c r="AD45" i="16"/>
  <c r="AD46" i="16"/>
  <c r="AD47" i="16"/>
  <c r="AD48" i="16"/>
  <c r="AD49" i="16"/>
  <c r="AD50" i="16"/>
  <c r="AD52" i="16"/>
  <c r="AD53" i="16"/>
  <c r="AD54" i="16"/>
  <c r="AD55" i="16"/>
  <c r="AD35" i="16"/>
  <c r="AC114" i="16"/>
  <c r="AA114" i="16"/>
  <c r="AA115" i="16" s="1"/>
  <c r="AD108" i="16"/>
  <c r="AD106" i="16"/>
  <c r="AD103" i="16"/>
  <c r="AB36" i="16"/>
  <c r="AC36" i="16"/>
  <c r="AC60" i="16" s="1"/>
  <c r="AA36" i="16"/>
  <c r="AD30" i="16"/>
  <c r="AD31" i="16"/>
  <c r="AD32" i="16"/>
  <c r="AD33" i="16"/>
  <c r="AD29" i="16"/>
  <c r="AD127" i="16"/>
  <c r="AD130" i="16"/>
  <c r="AA131" i="16"/>
  <c r="AD129" i="16"/>
  <c r="W34" i="16"/>
  <c r="X104" i="16"/>
  <c r="X113" i="16"/>
  <c r="Z113" i="16" s="1"/>
  <c r="X34" i="16"/>
  <c r="T23" i="21"/>
  <c r="AD183" i="16"/>
  <c r="U34" i="21"/>
  <c r="AD21" i="16"/>
  <c r="X105" i="16"/>
  <c r="Z105" i="16" s="1"/>
  <c r="AK36" i="16"/>
  <c r="AH23" i="16"/>
  <c r="AI22" i="16"/>
  <c r="AK22" i="16" s="1"/>
  <c r="AB95" i="21"/>
  <c r="AE95" i="21" s="1"/>
  <c r="AE94" i="21"/>
  <c r="AE78" i="21"/>
  <c r="AD69" i="21"/>
  <c r="AD92" i="21" s="1"/>
  <c r="AC69" i="21"/>
  <c r="AC92" i="21" s="1"/>
  <c r="AE62" i="21"/>
  <c r="AE57" i="21"/>
  <c r="AE56" i="21"/>
  <c r="AE55" i="21"/>
  <c r="AE51" i="21"/>
  <c r="AB45" i="21"/>
  <c r="AE45" i="21" s="1"/>
  <c r="AD38" i="21"/>
  <c r="AC38" i="21"/>
  <c r="AE34" i="21"/>
  <c r="AE11" i="21"/>
  <c r="AB92" i="21"/>
  <c r="AA23" i="16"/>
  <c r="AC23" i="16"/>
  <c r="Z44" i="16"/>
  <c r="Z45" i="16"/>
  <c r="Z46" i="16"/>
  <c r="Z47" i="16"/>
  <c r="Z48" i="16"/>
  <c r="Z49" i="16"/>
  <c r="Z50" i="16"/>
  <c r="Z51" i="16"/>
  <c r="Z52" i="16"/>
  <c r="Z53" i="16"/>
  <c r="Z54" i="16"/>
  <c r="Z55" i="16"/>
  <c r="Z43" i="16"/>
  <c r="Z112" i="16"/>
  <c r="Z111" i="16"/>
  <c r="Z110" i="16"/>
  <c r="Z109" i="16"/>
  <c r="Z108" i="16"/>
  <c r="X106" i="16"/>
  <c r="Z106" i="16" s="1"/>
  <c r="V130" i="16"/>
  <c r="Z130" i="16"/>
  <c r="Z151" i="16"/>
  <c r="Z74" i="16"/>
  <c r="V74" i="16"/>
  <c r="W129" i="16"/>
  <c r="V151" i="16"/>
  <c r="W147" i="16"/>
  <c r="Z147" i="16" s="1"/>
  <c r="Z150" i="16"/>
  <c r="V150" i="16"/>
  <c r="Z75" i="16"/>
  <c r="V75" i="16"/>
  <c r="W146" i="16"/>
  <c r="W72" i="16"/>
  <c r="T31" i="21"/>
  <c r="P31" i="21"/>
  <c r="Q19" i="21"/>
  <c r="Q16" i="21"/>
  <c r="T12" i="21"/>
  <c r="Q26" i="21"/>
  <c r="T26" i="21" s="1"/>
  <c r="Q28" i="21"/>
  <c r="T28" i="21" s="1"/>
  <c r="Z107" i="16"/>
  <c r="V107" i="16"/>
  <c r="V105" i="16"/>
  <c r="X103" i="16"/>
  <c r="X97" i="16"/>
  <c r="X96" i="16"/>
  <c r="W128" i="16"/>
  <c r="W127" i="16"/>
  <c r="W29" i="16"/>
  <c r="Z35" i="16"/>
  <c r="V35" i="16"/>
  <c r="X36" i="16"/>
  <c r="W33" i="16"/>
  <c r="W32" i="16"/>
  <c r="E37" i="16"/>
  <c r="E47" i="16" s="1"/>
  <c r="D37" i="16"/>
  <c r="D47" i="16" s="1"/>
  <c r="Z183" i="16"/>
  <c r="V183" i="16"/>
  <c r="W189" i="16"/>
  <c r="Z189" i="16" s="1"/>
  <c r="W185" i="16"/>
  <c r="Y182" i="16"/>
  <c r="W199" i="16"/>
  <c r="W201" i="16" s="1"/>
  <c r="Z196" i="16"/>
  <c r="V196" i="16"/>
  <c r="X65" i="21"/>
  <c r="Z181" i="16"/>
  <c r="R62" i="21"/>
  <c r="S62" i="21"/>
  <c r="T19" i="21"/>
  <c r="Q57" i="21"/>
  <c r="X52" i="21"/>
  <c r="AB190" i="16"/>
  <c r="AC190" i="16"/>
  <c r="AD181" i="16"/>
  <c r="T64" i="21"/>
  <c r="T53" i="21"/>
  <c r="T59" i="21"/>
  <c r="X67" i="21"/>
  <c r="X24" i="21"/>
  <c r="AJ60" i="16"/>
  <c r="AJ82" i="16" s="1"/>
  <c r="X63" i="21"/>
  <c r="X58" i="21"/>
  <c r="Q10" i="21"/>
  <c r="Q11" i="21" s="1"/>
  <c r="Z185" i="16"/>
  <c r="X9" i="21"/>
  <c r="X11" i="21" s="1"/>
  <c r="X93" i="21"/>
  <c r="X94" i="21" s="1"/>
  <c r="X34" i="21"/>
  <c r="T29" i="21"/>
  <c r="P29" i="21"/>
  <c r="P65" i="21"/>
  <c r="Y180" i="16"/>
  <c r="Y190" i="16" s="1"/>
  <c r="X18" i="21"/>
  <c r="X15" i="21"/>
  <c r="AH202" i="16"/>
  <c r="AH203" i="16" s="1"/>
  <c r="AJ201" i="16"/>
  <c r="AI201" i="16"/>
  <c r="Q15" i="21"/>
  <c r="Q38" i="21" s="1"/>
  <c r="W180" i="16"/>
  <c r="P71" i="21"/>
  <c r="T22" i="21"/>
  <c r="Q27" i="21"/>
  <c r="Q21" i="21"/>
  <c r="T21" i="21"/>
  <c r="V181" i="16"/>
  <c r="X61" i="21"/>
  <c r="V15" i="16"/>
  <c r="P70" i="21"/>
  <c r="P63" i="21"/>
  <c r="P52" i="21"/>
  <c r="P27" i="21"/>
  <c r="P49" i="21"/>
  <c r="P48" i="21"/>
  <c r="P47" i="21"/>
  <c r="P46" i="21"/>
  <c r="P17" i="21"/>
  <c r="P16" i="21"/>
  <c r="P15" i="21"/>
  <c r="P86" i="21"/>
  <c r="P83" i="21"/>
  <c r="P82" i="21"/>
  <c r="P79" i="21"/>
  <c r="P58" i="21"/>
  <c r="P54" i="21"/>
  <c r="P42" i="21"/>
  <c r="P39" i="21"/>
  <c r="P28" i="21"/>
  <c r="P24" i="21"/>
  <c r="P20" i="21"/>
  <c r="P18" i="21"/>
  <c r="P9" i="21"/>
  <c r="V195" i="16"/>
  <c r="V194" i="16"/>
  <c r="V193" i="16"/>
  <c r="V192" i="16"/>
  <c r="V191" i="16"/>
  <c r="V185" i="16"/>
  <c r="V184" i="16"/>
  <c r="V180" i="16"/>
  <c r="V189" i="16"/>
  <c r="V188" i="16"/>
  <c r="V187" i="16"/>
  <c r="V186" i="16"/>
  <c r="V179" i="16"/>
  <c r="V178" i="16"/>
  <c r="V177" i="16"/>
  <c r="V176" i="16"/>
  <c r="V175" i="16"/>
  <c r="V174" i="16"/>
  <c r="V173" i="16"/>
  <c r="V172" i="16"/>
  <c r="V152" i="16"/>
  <c r="V147" i="16"/>
  <c r="V145" i="16"/>
  <c r="V146" i="16"/>
  <c r="V142" i="16"/>
  <c r="V141" i="16"/>
  <c r="V140" i="16"/>
  <c r="V139" i="16"/>
  <c r="V138" i="16"/>
  <c r="V137" i="16"/>
  <c r="V136" i="16"/>
  <c r="V135" i="16"/>
  <c r="V129" i="16"/>
  <c r="V128" i="16"/>
  <c r="V127" i="16"/>
  <c r="V126" i="16"/>
  <c r="V125" i="16"/>
  <c r="V124" i="16"/>
  <c r="V122" i="16"/>
  <c r="V121" i="16"/>
  <c r="V120" i="16"/>
  <c r="V119" i="16"/>
  <c r="V118" i="16"/>
  <c r="V117" i="16"/>
  <c r="V116" i="16"/>
  <c r="V106" i="16"/>
  <c r="V104" i="16"/>
  <c r="V103" i="16"/>
  <c r="V101" i="16"/>
  <c r="V100" i="16"/>
  <c r="V99" i="16"/>
  <c r="V98" i="16"/>
  <c r="V97" i="16"/>
  <c r="V96" i="16"/>
  <c r="V95" i="16"/>
  <c r="V94" i="16"/>
  <c r="V93" i="16"/>
  <c r="V92" i="16"/>
  <c r="V91" i="16"/>
  <c r="V90" i="16"/>
  <c r="V89" i="16"/>
  <c r="V88" i="16"/>
  <c r="V87" i="16"/>
  <c r="V86" i="16"/>
  <c r="V85" i="16"/>
  <c r="V84" i="16"/>
  <c r="V83" i="16"/>
  <c r="V73" i="16"/>
  <c r="V72" i="16"/>
  <c r="V71" i="16"/>
  <c r="V67" i="16"/>
  <c r="V66" i="16"/>
  <c r="V65" i="16"/>
  <c r="V64" i="16"/>
  <c r="V63" i="16"/>
  <c r="V62" i="16"/>
  <c r="V61" i="16"/>
  <c r="V58" i="16"/>
  <c r="V57" i="16"/>
  <c r="V42" i="16"/>
  <c r="V41" i="16"/>
  <c r="V40" i="16"/>
  <c r="V39" i="16"/>
  <c r="V38" i="16"/>
  <c r="V37" i="16"/>
  <c r="V34" i="16"/>
  <c r="V33" i="16"/>
  <c r="V32" i="16"/>
  <c r="V31" i="16"/>
  <c r="V30" i="16"/>
  <c r="V29" i="16"/>
  <c r="V28" i="16"/>
  <c r="V27" i="16"/>
  <c r="V26" i="16"/>
  <c r="V25" i="16"/>
  <c r="V24" i="16"/>
  <c r="V21" i="16"/>
  <c r="V20" i="16"/>
  <c r="V19" i="16"/>
  <c r="V18" i="16"/>
  <c r="V17" i="16"/>
  <c r="V16" i="16"/>
  <c r="U78" i="21"/>
  <c r="X77" i="21"/>
  <c r="X75" i="21"/>
  <c r="X76" i="21"/>
  <c r="AK131" i="16"/>
  <c r="AK123" i="16"/>
  <c r="AI80" i="16"/>
  <c r="AK80" i="16" s="1"/>
  <c r="AH81" i="16"/>
  <c r="AI59" i="16"/>
  <c r="AI60" i="16" s="1"/>
  <c r="AH56" i="16"/>
  <c r="AH60" i="16" s="1"/>
  <c r="AI134" i="16"/>
  <c r="AH134" i="16"/>
  <c r="AK190" i="16"/>
  <c r="AK172" i="16"/>
  <c r="AK173" i="16"/>
  <c r="AK176" i="16"/>
  <c r="AK175" i="16"/>
  <c r="AK174" i="16"/>
  <c r="T58" i="21"/>
  <c r="Q60" i="21"/>
  <c r="Q62" i="21" s="1"/>
  <c r="Z184" i="16"/>
  <c r="U7" i="21"/>
  <c r="AA170" i="16"/>
  <c r="L10" i="23"/>
  <c r="E7" i="23"/>
  <c r="AI162" i="16"/>
  <c r="AI163" i="16" s="1"/>
  <c r="AH163" i="16"/>
  <c r="X74" i="21"/>
  <c r="X55" i="21"/>
  <c r="U94" i="21"/>
  <c r="U95" i="21" s="1"/>
  <c r="X95" i="21" s="1"/>
  <c r="U85" i="21"/>
  <c r="X81" i="21"/>
  <c r="U81" i="21"/>
  <c r="U69" i="21"/>
  <c r="U62" i="21"/>
  <c r="U57" i="21"/>
  <c r="X56" i="21" s="1"/>
  <c r="U44" i="21"/>
  <c r="U11" i="21"/>
  <c r="AB162" i="16"/>
  <c r="AB163" i="16" s="1"/>
  <c r="AD41" i="16"/>
  <c r="AD40" i="16"/>
  <c r="AD39" i="16"/>
  <c r="AD38" i="16"/>
  <c r="AD37" i="16"/>
  <c r="AA56" i="16"/>
  <c r="AD178" i="16"/>
  <c r="AD148" i="16"/>
  <c r="AB42" i="16"/>
  <c r="AD42" i="16" s="1"/>
  <c r="AD24" i="16"/>
  <c r="AD73" i="16"/>
  <c r="AA71" i="16"/>
  <c r="AD71" i="16" s="1"/>
  <c r="AA67" i="16"/>
  <c r="AD67" i="16" s="1"/>
  <c r="AA66" i="16"/>
  <c r="AD65" i="16"/>
  <c r="AD64" i="16"/>
  <c r="AD63" i="16"/>
  <c r="AD62" i="16"/>
  <c r="AD61" i="16"/>
  <c r="AB59" i="16"/>
  <c r="AA59" i="16"/>
  <c r="AD58" i="16"/>
  <c r="AD57" i="16"/>
  <c r="AD25" i="16"/>
  <c r="AB22" i="16"/>
  <c r="AB23" i="16" s="1"/>
  <c r="AD20" i="16"/>
  <c r="AD19" i="16"/>
  <c r="AD18" i="16"/>
  <c r="AD17" i="16"/>
  <c r="AD16" i="16"/>
  <c r="AD15" i="16"/>
  <c r="AB123" i="16"/>
  <c r="AA123" i="16"/>
  <c r="AD122" i="16"/>
  <c r="AD121" i="16"/>
  <c r="AD120" i="16"/>
  <c r="AD119" i="16"/>
  <c r="AH115" i="16"/>
  <c r="AD100" i="16"/>
  <c r="AD99" i="16"/>
  <c r="AD98" i="16"/>
  <c r="AD140" i="16"/>
  <c r="AD138" i="16"/>
  <c r="AA142" i="16"/>
  <c r="AD142" i="16" s="1"/>
  <c r="AA141" i="16"/>
  <c r="AA145" i="16"/>
  <c r="AA152" i="16"/>
  <c r="AD152" i="16"/>
  <c r="AD135" i="16"/>
  <c r="AD136" i="16"/>
  <c r="AD139" i="16"/>
  <c r="AD137" i="16"/>
  <c r="AD125" i="16"/>
  <c r="AD124" i="16"/>
  <c r="AD118" i="16"/>
  <c r="AD116" i="16"/>
  <c r="AD117" i="16"/>
  <c r="AD92" i="16"/>
  <c r="AD89" i="16"/>
  <c r="AD87" i="16"/>
  <c r="AD85" i="16"/>
  <c r="AD83" i="16"/>
  <c r="AD91" i="16"/>
  <c r="AD88" i="16"/>
  <c r="AD84" i="16"/>
  <c r="AD86" i="16"/>
  <c r="AD94" i="16"/>
  <c r="AD93" i="16"/>
  <c r="AD90" i="16"/>
  <c r="AD101" i="16"/>
  <c r="AB95" i="16"/>
  <c r="AB131" i="16"/>
  <c r="AD126" i="16"/>
  <c r="AD179" i="16"/>
  <c r="AD175" i="16"/>
  <c r="AD176" i="16"/>
  <c r="AA186" i="16"/>
  <c r="AD186" i="16" s="1"/>
  <c r="AA38" i="21"/>
  <c r="U17" i="21"/>
  <c r="X17" i="21"/>
  <c r="AD173" i="16"/>
  <c r="AA172" i="16"/>
  <c r="AD174" i="16"/>
  <c r="X50" i="21"/>
  <c r="AC201" i="16"/>
  <c r="AB201" i="16"/>
  <c r="AD192" i="16"/>
  <c r="AD193" i="16"/>
  <c r="AD194" i="16"/>
  <c r="AD195" i="16"/>
  <c r="AD191" i="16"/>
  <c r="AD188" i="16"/>
  <c r="AD187" i="16"/>
  <c r="AD177" i="16"/>
  <c r="U49" i="21"/>
  <c r="X49" i="21" s="1"/>
  <c r="U48" i="21"/>
  <c r="X48" i="21" s="1"/>
  <c r="U47" i="21"/>
  <c r="X47" i="21" s="1"/>
  <c r="U46" i="21"/>
  <c r="X46" i="21" s="1"/>
  <c r="AI115" i="16"/>
  <c r="AK114" i="16"/>
  <c r="AK115" i="16" s="1"/>
  <c r="AD145" i="16"/>
  <c r="Q50" i="21"/>
  <c r="Q49" i="21"/>
  <c r="T49" i="21"/>
  <c r="Q48" i="21"/>
  <c r="Q47" i="21"/>
  <c r="Q46" i="21"/>
  <c r="Q51" i="21" s="1"/>
  <c r="T46" i="21"/>
  <c r="X190" i="16"/>
  <c r="Q17" i="21"/>
  <c r="T17" i="21" s="1"/>
  <c r="X95" i="16"/>
  <c r="Z95" i="16" s="1"/>
  <c r="Z138" i="16"/>
  <c r="X42" i="16"/>
  <c r="X56" i="16" s="1"/>
  <c r="T9" i="21"/>
  <c r="T16" i="21"/>
  <c r="T18" i="21"/>
  <c r="T20" i="21"/>
  <c r="T24" i="21"/>
  <c r="T27" i="21"/>
  <c r="T34" i="21"/>
  <c r="T39" i="21"/>
  <c r="T41" i="21" s="1"/>
  <c r="T42" i="21"/>
  <c r="T43" i="21"/>
  <c r="Q44" i="21"/>
  <c r="T47" i="21"/>
  <c r="T48" i="21"/>
  <c r="T50" i="21"/>
  <c r="T52" i="21"/>
  <c r="T54" i="21"/>
  <c r="T55" i="21"/>
  <c r="T56" i="21"/>
  <c r="T61" i="21"/>
  <c r="T63" i="21"/>
  <c r="T65" i="21"/>
  <c r="T67" i="21"/>
  <c r="T71" i="21"/>
  <c r="T73" i="21" s="1"/>
  <c r="T74" i="21"/>
  <c r="T75" i="21"/>
  <c r="T76" i="21"/>
  <c r="T77" i="21"/>
  <c r="T79" i="21"/>
  <c r="T81" i="21" s="1"/>
  <c r="T82" i="21"/>
  <c r="T83" i="21"/>
  <c r="T84" i="21"/>
  <c r="Q85" i="21"/>
  <c r="T86" i="21"/>
  <c r="T91" i="21" s="1"/>
  <c r="T93" i="21"/>
  <c r="T94" i="21" s="1"/>
  <c r="Q94" i="21"/>
  <c r="Q95" i="21" s="1"/>
  <c r="T95" i="21" s="1"/>
  <c r="W145" i="16"/>
  <c r="Z145" i="16" s="1"/>
  <c r="W142" i="16"/>
  <c r="Z142" i="16" s="1"/>
  <c r="W71" i="16"/>
  <c r="Z71" i="16" s="1"/>
  <c r="W67" i="16"/>
  <c r="Z67" i="16" s="1"/>
  <c r="W152" i="16"/>
  <c r="Z152" i="16" s="1"/>
  <c r="W66" i="16"/>
  <c r="Z66" i="16" s="1"/>
  <c r="W141" i="16"/>
  <c r="Y60" i="16"/>
  <c r="Z30" i="16"/>
  <c r="Z195" i="16"/>
  <c r="Z194" i="16"/>
  <c r="Z193" i="16"/>
  <c r="Z192" i="16"/>
  <c r="Z191" i="16"/>
  <c r="Z188" i="16"/>
  <c r="Z187" i="16"/>
  <c r="W186" i="16"/>
  <c r="Z186" i="16" s="1"/>
  <c r="Z179" i="16"/>
  <c r="Z178" i="16"/>
  <c r="Z177" i="16"/>
  <c r="Z176" i="16"/>
  <c r="Z175" i="16"/>
  <c r="Z174" i="16"/>
  <c r="Z173" i="16"/>
  <c r="W172" i="16"/>
  <c r="Z172" i="16" s="1"/>
  <c r="Z148" i="16"/>
  <c r="Z146" i="16"/>
  <c r="Z140" i="16"/>
  <c r="Z139" i="16"/>
  <c r="Z137" i="16"/>
  <c r="Z136" i="16"/>
  <c r="Z135" i="16"/>
  <c r="Z129" i="16"/>
  <c r="Z128" i="16"/>
  <c r="Z127" i="16"/>
  <c r="Z126" i="16"/>
  <c r="Z125" i="16"/>
  <c r="Z124" i="16"/>
  <c r="Z122" i="16"/>
  <c r="Z121" i="16"/>
  <c r="Z120" i="16"/>
  <c r="Z119" i="16"/>
  <c r="Z118" i="16"/>
  <c r="Z117" i="16"/>
  <c r="Z116" i="16"/>
  <c r="Z104" i="16"/>
  <c r="Z100" i="16"/>
  <c r="Z99" i="16"/>
  <c r="Z98" i="16"/>
  <c r="Z97" i="16"/>
  <c r="Z96" i="16"/>
  <c r="Z94" i="16"/>
  <c r="Z93" i="16"/>
  <c r="Z92" i="16"/>
  <c r="Z91" i="16"/>
  <c r="Z90" i="16"/>
  <c r="Z89" i="16"/>
  <c r="Z88" i="16"/>
  <c r="Z87" i="16"/>
  <c r="Z86" i="16"/>
  <c r="Z85" i="16"/>
  <c r="Z84" i="16"/>
  <c r="Z83" i="16"/>
  <c r="Z73" i="16"/>
  <c r="Z72" i="16"/>
  <c r="Z69" i="16"/>
  <c r="Z65" i="16"/>
  <c r="Z64" i="16"/>
  <c r="Z63" i="16"/>
  <c r="Z62" i="16"/>
  <c r="Z61" i="16"/>
  <c r="Z58" i="16"/>
  <c r="Z57" i="16"/>
  <c r="Z41" i="16"/>
  <c r="Z40" i="16"/>
  <c r="Z39" i="16"/>
  <c r="Z38" i="16"/>
  <c r="Z37" i="16"/>
  <c r="W56" i="16"/>
  <c r="Z33" i="16"/>
  <c r="Z32" i="16"/>
  <c r="Z31" i="16"/>
  <c r="Z28" i="16"/>
  <c r="Z27" i="16"/>
  <c r="Z26" i="16"/>
  <c r="Z25" i="16"/>
  <c r="Z24" i="16"/>
  <c r="Z21" i="16"/>
  <c r="Z20" i="16"/>
  <c r="Z19" i="16"/>
  <c r="Z18" i="16"/>
  <c r="Z17" i="16"/>
  <c r="Z16" i="16"/>
  <c r="Z15" i="16"/>
  <c r="B180" i="16"/>
  <c r="C180" i="16"/>
  <c r="D180" i="16"/>
  <c r="E180" i="16"/>
  <c r="F180" i="16"/>
  <c r="B116" i="16"/>
  <c r="B135" i="16" s="1"/>
  <c r="C116" i="16"/>
  <c r="C135" i="16" s="1"/>
  <c r="B24" i="16"/>
  <c r="B61" i="16" s="1"/>
  <c r="C24" i="16"/>
  <c r="C61" i="16" s="1"/>
  <c r="A15" i="16"/>
  <c r="A24" i="16" s="1"/>
  <c r="W59" i="16"/>
  <c r="Y201" i="16"/>
  <c r="X162" i="16"/>
  <c r="X163" i="16" s="1"/>
  <c r="X131" i="16"/>
  <c r="X123" i="16"/>
  <c r="W123" i="16"/>
  <c r="X80" i="16"/>
  <c r="X81" i="16" s="1"/>
  <c r="X59" i="16"/>
  <c r="A83" i="16"/>
  <c r="X201" i="16"/>
  <c r="E191" i="16"/>
  <c r="D191" i="16"/>
  <c r="C191" i="16"/>
  <c r="B191" i="16"/>
  <c r="A172" i="16"/>
  <c r="A191" i="16" s="1"/>
  <c r="X15" i="6"/>
  <c r="O18" i="6"/>
  <c r="O19" i="6"/>
  <c r="Q19" i="6"/>
  <c r="O20" i="6"/>
  <c r="Q20" i="6"/>
  <c r="W20" i="6"/>
  <c r="O21" i="6"/>
  <c r="W22" i="6"/>
  <c r="Z22" i="6"/>
  <c r="AH22" i="6"/>
  <c r="P23" i="6"/>
  <c r="R23" i="6"/>
  <c r="S23" i="6"/>
  <c r="T23" i="6"/>
  <c r="T28" i="6"/>
  <c r="T37" i="6"/>
  <c r="T43" i="6"/>
  <c r="T57" i="6"/>
  <c r="T60" i="6"/>
  <c r="T90" i="6"/>
  <c r="T96" i="6"/>
  <c r="T97" i="6"/>
  <c r="U23" i="6"/>
  <c r="V23" i="6"/>
  <c r="X23" i="6"/>
  <c r="Y23" i="6"/>
  <c r="Q24" i="6"/>
  <c r="W24" i="6"/>
  <c r="Z24" i="6"/>
  <c r="AH24" i="6"/>
  <c r="O25" i="6"/>
  <c r="P25" i="6"/>
  <c r="R25" i="6"/>
  <c r="S25" i="6"/>
  <c r="S91" i="6"/>
  <c r="S28" i="6"/>
  <c r="S37" i="6"/>
  <c r="S43" i="6"/>
  <c r="S57" i="6"/>
  <c r="S60" i="6"/>
  <c r="S90" i="6"/>
  <c r="S96" i="6"/>
  <c r="S97" i="6"/>
  <c r="U25" i="6"/>
  <c r="U28" i="6"/>
  <c r="U37" i="6"/>
  <c r="U43" i="6"/>
  <c r="U57" i="6"/>
  <c r="U60" i="6"/>
  <c r="U61" i="6"/>
  <c r="R63" i="6"/>
  <c r="U63" i="6"/>
  <c r="U66" i="6"/>
  <c r="V66" i="6"/>
  <c r="W66" i="6"/>
  <c r="R67" i="6"/>
  <c r="U67" i="6"/>
  <c r="V67" i="6"/>
  <c r="W67" i="6"/>
  <c r="U97" i="6"/>
  <c r="V25" i="6"/>
  <c r="X25" i="6"/>
  <c r="X28" i="6"/>
  <c r="X37" i="6"/>
  <c r="X43" i="6"/>
  <c r="X57" i="6"/>
  <c r="X60" i="6"/>
  <c r="X90" i="6"/>
  <c r="Y25" i="6"/>
  <c r="Z25" i="6"/>
  <c r="Y28" i="6"/>
  <c r="Y37" i="6"/>
  <c r="Y43" i="6"/>
  <c r="Y57" i="6"/>
  <c r="Y60" i="6"/>
  <c r="Y90" i="6"/>
  <c r="Q26" i="6"/>
  <c r="W26" i="6"/>
  <c r="Z26" i="6"/>
  <c r="AH26" i="6"/>
  <c r="Q27" i="6"/>
  <c r="W27" i="6"/>
  <c r="W28" i="6"/>
  <c r="AD28" i="6"/>
  <c r="Z27" i="6"/>
  <c r="AH27" i="6"/>
  <c r="O28" i="6"/>
  <c r="P28" i="6"/>
  <c r="R28" i="6"/>
  <c r="V28" i="6"/>
  <c r="B29" i="6"/>
  <c r="B38" i="6"/>
  <c r="B61" i="6"/>
  <c r="C29" i="6"/>
  <c r="C38" i="6"/>
  <c r="C44" i="6"/>
  <c r="C58" i="6"/>
  <c r="D29" i="6"/>
  <c r="D38" i="6"/>
  <c r="E29" i="6"/>
  <c r="E38" i="6"/>
  <c r="E61" i="6"/>
  <c r="F29" i="6"/>
  <c r="F38" i="6"/>
  <c r="F61" i="6"/>
  <c r="F80" i="6"/>
  <c r="Q29" i="6"/>
  <c r="W29" i="6"/>
  <c r="Z29" i="6"/>
  <c r="AH29" i="6"/>
  <c r="Q30" i="6"/>
  <c r="W30" i="6"/>
  <c r="Z30" i="6"/>
  <c r="AH30" i="6"/>
  <c r="Q31" i="6"/>
  <c r="W31" i="6"/>
  <c r="Z31" i="6"/>
  <c r="AH31" i="6"/>
  <c r="Q32" i="6"/>
  <c r="W32" i="6"/>
  <c r="Z32" i="6"/>
  <c r="AH32" i="6"/>
  <c r="Q33" i="6"/>
  <c r="W33" i="6"/>
  <c r="Z33" i="6"/>
  <c r="AH33" i="6"/>
  <c r="Q34" i="6"/>
  <c r="W34" i="6"/>
  <c r="Z34" i="6"/>
  <c r="AH34" i="6"/>
  <c r="Q35" i="6"/>
  <c r="W35" i="6"/>
  <c r="Z35" i="6"/>
  <c r="AH35" i="6"/>
  <c r="Q36" i="6"/>
  <c r="W36" i="6"/>
  <c r="Z36" i="6"/>
  <c r="AH36" i="6"/>
  <c r="O37" i="6"/>
  <c r="P37" i="6"/>
  <c r="R37" i="6"/>
  <c r="V37" i="6"/>
  <c r="V38" i="6"/>
  <c r="W38" i="6"/>
  <c r="Z38" i="6"/>
  <c r="AH38" i="6"/>
  <c r="AF38" i="6"/>
  <c r="AG38" i="6"/>
  <c r="V39" i="6"/>
  <c r="W39" i="6"/>
  <c r="Z39" i="6"/>
  <c r="AH39" i="6"/>
  <c r="AF39" i="6"/>
  <c r="AG39" i="6"/>
  <c r="V40" i="6"/>
  <c r="W40" i="6"/>
  <c r="Z40" i="6"/>
  <c r="AH40" i="6"/>
  <c r="AF40" i="6"/>
  <c r="V41" i="6"/>
  <c r="W41" i="6"/>
  <c r="Z41" i="6"/>
  <c r="AH41" i="6"/>
  <c r="AF41" i="6"/>
  <c r="AG41" i="6"/>
  <c r="V42" i="6"/>
  <c r="W42" i="6"/>
  <c r="Z42" i="6"/>
  <c r="AG42" i="6"/>
  <c r="AF42" i="6"/>
  <c r="O43" i="6"/>
  <c r="P43" i="6"/>
  <c r="P57" i="6"/>
  <c r="P60" i="6"/>
  <c r="P90" i="6"/>
  <c r="Q43" i="6"/>
  <c r="R43" i="6"/>
  <c r="W44" i="6"/>
  <c r="Z44" i="6"/>
  <c r="AH44" i="6"/>
  <c r="W45" i="6"/>
  <c r="Z45" i="6"/>
  <c r="AH45" i="6"/>
  <c r="O46" i="6"/>
  <c r="O48" i="6"/>
  <c r="W48" i="6"/>
  <c r="O56" i="6"/>
  <c r="W56" i="6"/>
  <c r="W57" i="6"/>
  <c r="AD57" i="6"/>
  <c r="Z46" i="6"/>
  <c r="W47" i="6"/>
  <c r="Z47" i="6"/>
  <c r="AH47" i="6"/>
  <c r="Z48" i="6"/>
  <c r="AH48" i="6"/>
  <c r="W49" i="6"/>
  <c r="Z49" i="6"/>
  <c r="AH49" i="6"/>
  <c r="W50" i="6"/>
  <c r="Z50" i="6"/>
  <c r="AH50" i="6"/>
  <c r="W51" i="6"/>
  <c r="Z51" i="6"/>
  <c r="AH51" i="6"/>
  <c r="W52" i="6"/>
  <c r="Z52" i="6"/>
  <c r="AH52" i="6"/>
  <c r="W53" i="6"/>
  <c r="Z53" i="6"/>
  <c r="AH53" i="6"/>
  <c r="W54" i="6"/>
  <c r="Z54" i="6"/>
  <c r="W55" i="6"/>
  <c r="Z55" i="6"/>
  <c r="AH55" i="6"/>
  <c r="Z56" i="6"/>
  <c r="AH56" i="6"/>
  <c r="Q57" i="6"/>
  <c r="R57" i="6"/>
  <c r="V57" i="6"/>
  <c r="O58" i="6"/>
  <c r="O60" i="6"/>
  <c r="Z58" i="6"/>
  <c r="AH58" i="6"/>
  <c r="W59" i="6"/>
  <c r="Z59" i="6"/>
  <c r="Q60" i="6"/>
  <c r="R60" i="6"/>
  <c r="V60" i="6"/>
  <c r="Q61" i="6"/>
  <c r="Z61" i="6"/>
  <c r="AG61" i="6"/>
  <c r="Z62" i="6"/>
  <c r="AH62" i="6"/>
  <c r="W62" i="6"/>
  <c r="AF62" i="6"/>
  <c r="AF90" i="6"/>
  <c r="Z63" i="6"/>
  <c r="W64" i="6"/>
  <c r="Z64" i="6"/>
  <c r="AH64" i="6"/>
  <c r="R65" i="6"/>
  <c r="W65" i="6"/>
  <c r="Z65" i="6"/>
  <c r="Z66" i="6"/>
  <c r="AH66" i="6"/>
  <c r="Z67" i="6"/>
  <c r="AQ67" i="6"/>
  <c r="W68" i="6"/>
  <c r="Z68" i="6"/>
  <c r="AH68" i="6"/>
  <c r="R69" i="6"/>
  <c r="W69" i="6"/>
  <c r="Z69" i="6"/>
  <c r="W70" i="6"/>
  <c r="Z70" i="6"/>
  <c r="AH70" i="6"/>
  <c r="R71" i="6"/>
  <c r="W71" i="6"/>
  <c r="Z71" i="6"/>
  <c r="W72" i="6"/>
  <c r="Z72" i="6"/>
  <c r="AH72" i="6"/>
  <c r="R73" i="6"/>
  <c r="Z73" i="6"/>
  <c r="W74" i="6"/>
  <c r="Z74" i="6"/>
  <c r="AH74" i="6"/>
  <c r="R75" i="6"/>
  <c r="W75" i="6"/>
  <c r="Z75" i="6"/>
  <c r="W76" i="6"/>
  <c r="Z76" i="6"/>
  <c r="AH76" i="6"/>
  <c r="R77" i="6"/>
  <c r="W77" i="6"/>
  <c r="Z77" i="6"/>
  <c r="W78" i="6"/>
  <c r="Z78" i="6"/>
  <c r="AH78" i="6"/>
  <c r="Z79" i="6"/>
  <c r="G80" i="6"/>
  <c r="W80" i="6"/>
  <c r="Z80" i="6"/>
  <c r="AH80" i="6"/>
  <c r="R81" i="6"/>
  <c r="W81" i="6"/>
  <c r="Z81" i="6"/>
  <c r="W82" i="6"/>
  <c r="Z82" i="6"/>
  <c r="AH82" i="6"/>
  <c r="W83" i="6"/>
  <c r="Z83" i="6"/>
  <c r="W84" i="6"/>
  <c r="Z84" i="6"/>
  <c r="AH84" i="6"/>
  <c r="R85" i="6"/>
  <c r="W85" i="6"/>
  <c r="Z85" i="6"/>
  <c r="W86" i="6"/>
  <c r="Z86" i="6"/>
  <c r="AH86" i="6"/>
  <c r="R87" i="6"/>
  <c r="W87" i="6"/>
  <c r="Z87" i="6"/>
  <c r="W88" i="6"/>
  <c r="Z88" i="6"/>
  <c r="AH88" i="6"/>
  <c r="R89" i="6"/>
  <c r="W89" i="6"/>
  <c r="Z89" i="6"/>
  <c r="AH89" i="6"/>
  <c r="O90" i="6"/>
  <c r="P97" i="6"/>
  <c r="O92" i="6"/>
  <c r="O95" i="6"/>
  <c r="Q95" i="6"/>
  <c r="R95" i="6"/>
  <c r="R96" i="6"/>
  <c r="V92" i="6"/>
  <c r="Z92" i="6"/>
  <c r="AH92" i="6"/>
  <c r="W93" i="6"/>
  <c r="Z93" i="6"/>
  <c r="AH93" i="6"/>
  <c r="AF93" i="6"/>
  <c r="AF96" i="6"/>
  <c r="AF97" i="6"/>
  <c r="AG97" i="6"/>
  <c r="Q94" i="6"/>
  <c r="V94" i="6"/>
  <c r="Z94" i="6"/>
  <c r="AH94" i="6"/>
  <c r="Z95" i="6"/>
  <c r="P96" i="6"/>
  <c r="U96" i="6"/>
  <c r="X96" i="6"/>
  <c r="Y96" i="6"/>
  <c r="Y97" i="6"/>
  <c r="AE98" i="6"/>
  <c r="Q99" i="6"/>
  <c r="V99" i="6"/>
  <c r="Z99" i="6"/>
  <c r="AH99" i="6"/>
  <c r="AF99" i="6"/>
  <c r="AG99" i="6"/>
  <c r="AG100" i="6"/>
  <c r="O100" i="6"/>
  <c r="R100" i="6"/>
  <c r="V100" i="6"/>
  <c r="W100" i="6"/>
  <c r="S100" i="6"/>
  <c r="T100" i="6"/>
  <c r="X100" i="6"/>
  <c r="Y100" i="6"/>
  <c r="Q101" i="6"/>
  <c r="V101" i="6"/>
  <c r="W101" i="6"/>
  <c r="Z101" i="6"/>
  <c r="AH101" i="6"/>
  <c r="Q102" i="6"/>
  <c r="V102" i="6"/>
  <c r="W102" i="6"/>
  <c r="Z102" i="6"/>
  <c r="AH102" i="6"/>
  <c r="O103" i="6"/>
  <c r="V103" i="6"/>
  <c r="Z103" i="6"/>
  <c r="AH103" i="6"/>
  <c r="Q104" i="6"/>
  <c r="V104" i="6"/>
  <c r="W104" i="6"/>
  <c r="Z104" i="6"/>
  <c r="AH104" i="6"/>
  <c r="Q105" i="6"/>
  <c r="V105" i="6"/>
  <c r="W105" i="6"/>
  <c r="Z105" i="6"/>
  <c r="AH105" i="6"/>
  <c r="O106" i="6"/>
  <c r="W106" i="6"/>
  <c r="V106" i="6"/>
  <c r="Z106" i="6"/>
  <c r="AH106" i="6"/>
  <c r="O107" i="6"/>
  <c r="W107" i="6"/>
  <c r="V107" i="6"/>
  <c r="Z107" i="6"/>
  <c r="AH107" i="6"/>
  <c r="O108" i="6"/>
  <c r="W108" i="6"/>
  <c r="W115" i="6"/>
  <c r="V108" i="6"/>
  <c r="Z108" i="6"/>
  <c r="Q109" i="6"/>
  <c r="R109" i="6"/>
  <c r="R111" i="6"/>
  <c r="R152" i="6"/>
  <c r="R135" i="6"/>
  <c r="R137" i="6"/>
  <c r="V137" i="6"/>
  <c r="W137" i="6"/>
  <c r="R126" i="6"/>
  <c r="R117" i="6"/>
  <c r="AF117" i="6"/>
  <c r="R158" i="6"/>
  <c r="R159" i="6"/>
  <c r="Z109" i="6"/>
  <c r="O110" i="6"/>
  <c r="W110" i="6"/>
  <c r="Q110" i="6"/>
  <c r="V110" i="6"/>
  <c r="Z110" i="6"/>
  <c r="O111" i="6"/>
  <c r="Q111" i="6"/>
  <c r="Z111" i="6"/>
  <c r="W112" i="6"/>
  <c r="Z112" i="6"/>
  <c r="W113" i="6"/>
  <c r="Z113" i="6"/>
  <c r="AG113" i="6"/>
  <c r="AF113" i="6"/>
  <c r="W114" i="6"/>
  <c r="Z114" i="6"/>
  <c r="AG114" i="6"/>
  <c r="AG115" i="6"/>
  <c r="AG153" i="6"/>
  <c r="AF114" i="6"/>
  <c r="P115" i="6"/>
  <c r="S115" i="6"/>
  <c r="T115" i="6"/>
  <c r="U115" i="6"/>
  <c r="X115" i="6"/>
  <c r="Y115" i="6"/>
  <c r="AE115" i="6"/>
  <c r="C116" i="6"/>
  <c r="C127" i="6"/>
  <c r="C141" i="6"/>
  <c r="D116" i="6"/>
  <c r="D127" i="6"/>
  <c r="D141" i="6"/>
  <c r="E116" i="6"/>
  <c r="E127" i="6"/>
  <c r="E141" i="6"/>
  <c r="F116" i="6"/>
  <c r="F127" i="6"/>
  <c r="F141" i="6"/>
  <c r="Q116" i="6"/>
  <c r="V116" i="6"/>
  <c r="V118" i="6"/>
  <c r="Z116" i="6"/>
  <c r="AF116" i="6"/>
  <c r="AF118" i="6"/>
  <c r="P117" i="6"/>
  <c r="Q117" i="6"/>
  <c r="Z117" i="6"/>
  <c r="O118" i="6"/>
  <c r="S118" i="6"/>
  <c r="S152" i="6"/>
  <c r="S126" i="6"/>
  <c r="S158" i="6"/>
  <c r="S159" i="6"/>
  <c r="T118" i="6"/>
  <c r="U118" i="6"/>
  <c r="X118" i="6"/>
  <c r="Y118" i="6"/>
  <c r="V119" i="6"/>
  <c r="W119" i="6"/>
  <c r="Z119" i="6"/>
  <c r="AH119" i="6"/>
  <c r="V120" i="6"/>
  <c r="W120" i="6"/>
  <c r="Z120" i="6"/>
  <c r="AH120" i="6"/>
  <c r="V121" i="6"/>
  <c r="W121" i="6"/>
  <c r="Z121" i="6"/>
  <c r="AH121" i="6"/>
  <c r="V122" i="6"/>
  <c r="W122" i="6"/>
  <c r="Z122" i="6"/>
  <c r="AH122" i="6"/>
  <c r="V123" i="6"/>
  <c r="W123" i="6"/>
  <c r="Z123" i="6"/>
  <c r="AH123" i="6"/>
  <c r="V124" i="6"/>
  <c r="W124" i="6"/>
  <c r="Z124" i="6"/>
  <c r="AH124" i="6"/>
  <c r="V125" i="6"/>
  <c r="W125" i="6"/>
  <c r="Z125" i="6"/>
  <c r="O126" i="6"/>
  <c r="W126" i="6"/>
  <c r="P126" i="6"/>
  <c r="U126" i="6"/>
  <c r="X126" i="6"/>
  <c r="Y126" i="6"/>
  <c r="AF126" i="6"/>
  <c r="AG126" i="6"/>
  <c r="V127" i="6"/>
  <c r="W127" i="6"/>
  <c r="Z127" i="6"/>
  <c r="AH127" i="6"/>
  <c r="V128" i="6"/>
  <c r="W128" i="6"/>
  <c r="Z128" i="6"/>
  <c r="AH128" i="6"/>
  <c r="V129" i="6"/>
  <c r="W129" i="6"/>
  <c r="Z129" i="6"/>
  <c r="AH129" i="6"/>
  <c r="V130" i="6"/>
  <c r="W130" i="6"/>
  <c r="Z130" i="6"/>
  <c r="AH130" i="6"/>
  <c r="V131" i="6"/>
  <c r="W131" i="6"/>
  <c r="Z131" i="6"/>
  <c r="AH131" i="6"/>
  <c r="V132" i="6"/>
  <c r="W132" i="6"/>
  <c r="Z132" i="6"/>
  <c r="AH132" i="6"/>
  <c r="V133" i="6"/>
  <c r="W133" i="6"/>
  <c r="Z133" i="6"/>
  <c r="V134" i="6"/>
  <c r="Z134" i="6"/>
  <c r="AH134" i="6"/>
  <c r="Z135" i="6"/>
  <c r="AH135" i="6"/>
  <c r="V136" i="6"/>
  <c r="W136" i="6"/>
  <c r="Z136" i="6"/>
  <c r="AH136" i="6"/>
  <c r="Z137" i="6"/>
  <c r="AH137" i="6"/>
  <c r="V138" i="6"/>
  <c r="W138" i="6"/>
  <c r="Z138" i="6"/>
  <c r="AH138" i="6"/>
  <c r="V139" i="6"/>
  <c r="W139" i="6"/>
  <c r="Z139" i="6"/>
  <c r="AH139" i="6"/>
  <c r="O140" i="6"/>
  <c r="Q140" i="6"/>
  <c r="P140" i="6"/>
  <c r="X140" i="6"/>
  <c r="Y140" i="6"/>
  <c r="Z140" i="6"/>
  <c r="AF140" i="6"/>
  <c r="AG140" i="6"/>
  <c r="O141" i="6"/>
  <c r="Q141" i="6"/>
  <c r="W141" i="6"/>
  <c r="Z141" i="6"/>
  <c r="AH141" i="6"/>
  <c r="Q142" i="6"/>
  <c r="W142" i="6"/>
  <c r="Z142" i="6"/>
  <c r="AH142" i="6"/>
  <c r="Q143" i="6"/>
  <c r="W143" i="6"/>
  <c r="Z143" i="6"/>
  <c r="AH143" i="6"/>
  <c r="O144" i="6"/>
  <c r="Q144" i="6"/>
  <c r="Z144" i="6"/>
  <c r="AH144" i="6"/>
  <c r="O145" i="6"/>
  <c r="Q145" i="6"/>
  <c r="W145" i="6"/>
  <c r="Z145" i="6"/>
  <c r="Q146" i="6"/>
  <c r="W146" i="6"/>
  <c r="Z146" i="6"/>
  <c r="Q147" i="6"/>
  <c r="W147" i="6"/>
  <c r="Z147" i="6"/>
  <c r="AH147" i="6"/>
  <c r="O148" i="6"/>
  <c r="W148" i="6"/>
  <c r="Z148" i="6"/>
  <c r="O149" i="6"/>
  <c r="Q149" i="6"/>
  <c r="W149" i="6"/>
  <c r="Z149" i="6"/>
  <c r="O150" i="6"/>
  <c r="Z150" i="6"/>
  <c r="O151" i="6"/>
  <c r="W151" i="6"/>
  <c r="Z151" i="6"/>
  <c r="AH151" i="6"/>
  <c r="AF151" i="6"/>
  <c r="P152" i="6"/>
  <c r="T152" i="6"/>
  <c r="U152" i="6"/>
  <c r="U159" i="6"/>
  <c r="V152" i="6"/>
  <c r="X152" i="6"/>
  <c r="Y152" i="6"/>
  <c r="Q154" i="6"/>
  <c r="V154" i="6"/>
  <c r="Z154" i="6"/>
  <c r="AH154" i="6"/>
  <c r="AF154" i="6"/>
  <c r="AF158" i="6"/>
  <c r="Q155" i="6"/>
  <c r="V155" i="6"/>
  <c r="V156" i="6"/>
  <c r="V157" i="6"/>
  <c r="Q157" i="6"/>
  <c r="Z155" i="6"/>
  <c r="AH155" i="6"/>
  <c r="Q156" i="6"/>
  <c r="W156" i="6"/>
  <c r="Z156" i="6"/>
  <c r="AH156" i="6"/>
  <c r="Z157" i="6"/>
  <c r="O158" i="6"/>
  <c r="P158" i="6"/>
  <c r="T158" i="6"/>
  <c r="T159" i="6"/>
  <c r="U158" i="6"/>
  <c r="X158" i="6"/>
  <c r="X159" i="6"/>
  <c r="Y158" i="6"/>
  <c r="Y159" i="6"/>
  <c r="P159" i="6"/>
  <c r="Q161" i="6"/>
  <c r="W161" i="6"/>
  <c r="Z161" i="6"/>
  <c r="AH161" i="6"/>
  <c r="O162" i="6"/>
  <c r="Z162" i="6"/>
  <c r="W163" i="6"/>
  <c r="Z163" i="6"/>
  <c r="AH163" i="6"/>
  <c r="W164" i="6"/>
  <c r="Z164" i="6"/>
  <c r="AH164" i="6"/>
  <c r="O165" i="6"/>
  <c r="Q165" i="6"/>
  <c r="W165" i="6"/>
  <c r="Z165" i="6"/>
  <c r="O166" i="6"/>
  <c r="O181" i="6"/>
  <c r="Z166" i="6"/>
  <c r="W167" i="6"/>
  <c r="Z167" i="6"/>
  <c r="AH167" i="6"/>
  <c r="W168" i="6"/>
  <c r="Z168" i="6"/>
  <c r="AH168" i="6"/>
  <c r="W169" i="6"/>
  <c r="Z169" i="6"/>
  <c r="AH169" i="6"/>
  <c r="W170" i="6"/>
  <c r="Z170" i="6"/>
  <c r="AH170" i="6"/>
  <c r="W171" i="6"/>
  <c r="Z171" i="6"/>
  <c r="O172" i="6"/>
  <c r="W172" i="6"/>
  <c r="Z172" i="6"/>
  <c r="O173" i="6"/>
  <c r="W173" i="6"/>
  <c r="Z173" i="6"/>
  <c r="AH173" i="6"/>
  <c r="W174" i="6"/>
  <c r="Z174" i="6"/>
  <c r="AH174" i="6"/>
  <c r="W175" i="6"/>
  <c r="Z175" i="6"/>
  <c r="AH175" i="6"/>
  <c r="Q176" i="6"/>
  <c r="W176" i="6"/>
  <c r="Z176" i="6"/>
  <c r="AH176" i="6"/>
  <c r="O177" i="6"/>
  <c r="Q177" i="6"/>
  <c r="W177" i="6"/>
  <c r="Z177" i="6"/>
  <c r="AH177" i="6"/>
  <c r="O178" i="6"/>
  <c r="W178" i="6"/>
  <c r="Z178" i="6"/>
  <c r="AH178" i="6"/>
  <c r="Q179" i="6"/>
  <c r="W179" i="6"/>
  <c r="Z179" i="6"/>
  <c r="AH179" i="6"/>
  <c r="W180" i="6"/>
  <c r="Z180" i="6"/>
  <c r="AH180" i="6"/>
  <c r="P181" i="6"/>
  <c r="P182" i="6"/>
  <c r="P205" i="6"/>
  <c r="P193" i="6"/>
  <c r="P194" i="6"/>
  <c r="P203" i="6"/>
  <c r="P204" i="6"/>
  <c r="R181" i="6"/>
  <c r="R182" i="6"/>
  <c r="S181" i="6"/>
  <c r="S182" i="6"/>
  <c r="S194" i="6"/>
  <c r="S203" i="6"/>
  <c r="S204" i="6"/>
  <c r="T181" i="6"/>
  <c r="T182" i="6"/>
  <c r="T205" i="6"/>
  <c r="U181" i="6"/>
  <c r="U182" i="6"/>
  <c r="V181" i="6"/>
  <c r="V182" i="6"/>
  <c r="X181" i="6"/>
  <c r="Y181" i="6"/>
  <c r="Y182" i="6"/>
  <c r="AF181" i="6"/>
  <c r="AF182" i="6"/>
  <c r="AF193" i="6"/>
  <c r="AF194" i="6"/>
  <c r="AF203" i="6"/>
  <c r="AF204" i="6"/>
  <c r="AG181" i="6"/>
  <c r="AG182" i="6"/>
  <c r="AG193" i="6"/>
  <c r="AG194" i="6"/>
  <c r="AG205" i="6"/>
  <c r="AG203" i="6"/>
  <c r="AG204" i="6"/>
  <c r="T204" i="6"/>
  <c r="B183" i="6"/>
  <c r="B195" i="6"/>
  <c r="B206" i="6"/>
  <c r="C183" i="6"/>
  <c r="C195" i="6"/>
  <c r="O183" i="6"/>
  <c r="Q183" i="6"/>
  <c r="O184" i="6"/>
  <c r="Q184" i="6"/>
  <c r="O187" i="6"/>
  <c r="Q187" i="6"/>
  <c r="W187" i="6"/>
  <c r="O188" i="6"/>
  <c r="Q188" i="6"/>
  <c r="Q190" i="6"/>
  <c r="O191" i="6"/>
  <c r="Q191" i="6"/>
  <c r="Q192" i="6"/>
  <c r="W192" i="6"/>
  <c r="R183" i="6"/>
  <c r="V184" i="6"/>
  <c r="Z184" i="6"/>
  <c r="W185" i="6"/>
  <c r="Z185" i="6"/>
  <c r="AH185" i="6"/>
  <c r="W186" i="6"/>
  <c r="Z186" i="6"/>
  <c r="AH186" i="6"/>
  <c r="V187" i="6"/>
  <c r="Z187" i="6"/>
  <c r="AH187" i="6"/>
  <c r="V188" i="6"/>
  <c r="Z188" i="6"/>
  <c r="AH188" i="6"/>
  <c r="O189" i="6"/>
  <c r="W189" i="6"/>
  <c r="Z189" i="6"/>
  <c r="AH189" i="6"/>
  <c r="V190" i="6"/>
  <c r="W190" i="6"/>
  <c r="Z190" i="6"/>
  <c r="AH190" i="6"/>
  <c r="V191" i="6"/>
  <c r="Z191" i="6"/>
  <c r="Z192" i="6"/>
  <c r="AH192" i="6"/>
  <c r="S193" i="6"/>
  <c r="T193" i="6"/>
  <c r="U193" i="6"/>
  <c r="X193" i="6"/>
  <c r="X194" i="6"/>
  <c r="U194" i="6"/>
  <c r="Q195" i="6"/>
  <c r="W195" i="6"/>
  <c r="Z195" i="6"/>
  <c r="AH195" i="6"/>
  <c r="O196" i="6"/>
  <c r="Q196" i="6"/>
  <c r="W196" i="6"/>
  <c r="Z196" i="6"/>
  <c r="O197" i="6"/>
  <c r="W197" i="6"/>
  <c r="Z197" i="6"/>
  <c r="AH197" i="6"/>
  <c r="O198" i="6"/>
  <c r="Q198" i="6"/>
  <c r="W198" i="6"/>
  <c r="Z198" i="6"/>
  <c r="O199" i="6"/>
  <c r="W199" i="6"/>
  <c r="Z199" i="6"/>
  <c r="O200" i="6"/>
  <c r="Q200" i="6"/>
  <c r="Z200" i="6"/>
  <c r="W201" i="6"/>
  <c r="Z201" i="6"/>
  <c r="AH201" i="6"/>
  <c r="W202" i="6"/>
  <c r="Z202" i="6"/>
  <c r="AH202" i="6"/>
  <c r="R203" i="6"/>
  <c r="R204" i="6"/>
  <c r="U203" i="6"/>
  <c r="U204" i="6"/>
  <c r="V203" i="6"/>
  <c r="V204" i="6"/>
  <c r="X203" i="6"/>
  <c r="X204" i="6"/>
  <c r="Z204" i="6"/>
  <c r="Y203" i="6"/>
  <c r="Y204" i="6"/>
  <c r="O206" i="6"/>
  <c r="Q206" i="6"/>
  <c r="Z206" i="6"/>
  <c r="AH206" i="6"/>
  <c r="Q207" i="6"/>
  <c r="W207" i="6"/>
  <c r="Z207" i="6"/>
  <c r="O208" i="6"/>
  <c r="Q208" i="6"/>
  <c r="W208" i="6"/>
  <c r="Z208" i="6"/>
  <c r="Q209" i="6"/>
  <c r="W209" i="6"/>
  <c r="Z209" i="6"/>
  <c r="AH209" i="6"/>
  <c r="O210" i="6"/>
  <c r="W210" i="6"/>
  <c r="Z210" i="6"/>
  <c r="O211" i="6"/>
  <c r="W211" i="6"/>
  <c r="Z211" i="6"/>
  <c r="Q212" i="6"/>
  <c r="W212" i="6"/>
  <c r="Z212" i="6"/>
  <c r="AH212" i="6"/>
  <c r="O213" i="6"/>
  <c r="W213" i="6"/>
  <c r="Z213" i="6"/>
  <c r="P214" i="6"/>
  <c r="R214" i="6"/>
  <c r="S214" i="6"/>
  <c r="T214" i="6"/>
  <c r="U214" i="6"/>
  <c r="V214" i="6"/>
  <c r="X214" i="6"/>
  <c r="Y214" i="6"/>
  <c r="Y227" i="6"/>
  <c r="Y228" i="6"/>
  <c r="Z228" i="6"/>
  <c r="AF214" i="6"/>
  <c r="AG214" i="6"/>
  <c r="AG227" i="6"/>
  <c r="AG228" i="6"/>
  <c r="AG219" i="6"/>
  <c r="AG226" i="6"/>
  <c r="E215" i="6"/>
  <c r="F215" i="6"/>
  <c r="Q215" i="6"/>
  <c r="W215" i="6"/>
  <c r="O216" i="6"/>
  <c r="Q216" i="6"/>
  <c r="Z215" i="6"/>
  <c r="AH215" i="6"/>
  <c r="Z216" i="6"/>
  <c r="W217" i="6"/>
  <c r="Z217" i="6"/>
  <c r="AH217" i="6"/>
  <c r="W218" i="6"/>
  <c r="Z218" i="6"/>
  <c r="AH218" i="6"/>
  <c r="P219" i="6"/>
  <c r="R219" i="6"/>
  <c r="S219" i="6"/>
  <c r="T219" i="6"/>
  <c r="U219" i="6"/>
  <c r="V219" i="6"/>
  <c r="X219" i="6"/>
  <c r="Y219" i="6"/>
  <c r="AF219" i="6"/>
  <c r="O220" i="6"/>
  <c r="Q220" i="6"/>
  <c r="Z220" i="6"/>
  <c r="AH220" i="6"/>
  <c r="O221" i="6"/>
  <c r="Q221" i="6"/>
  <c r="W221" i="6"/>
  <c r="Z221" i="6"/>
  <c r="AH221" i="6"/>
  <c r="O222" i="6"/>
  <c r="Q222" i="6"/>
  <c r="Z222" i="6"/>
  <c r="AH222" i="6"/>
  <c r="W223" i="6"/>
  <c r="Z223" i="6"/>
  <c r="AH223" i="6"/>
  <c r="O224" i="6"/>
  <c r="W224" i="6"/>
  <c r="Z224" i="6"/>
  <c r="O225" i="6"/>
  <c r="Q225" i="6"/>
  <c r="V225" i="6"/>
  <c r="V226" i="6"/>
  <c r="Z225" i="6"/>
  <c r="P226" i="6"/>
  <c r="R226" i="6"/>
  <c r="S226" i="6"/>
  <c r="T226" i="6"/>
  <c r="U226" i="6"/>
  <c r="X226" i="6"/>
  <c r="Y226" i="6"/>
  <c r="AF226" i="6"/>
  <c r="V227" i="6"/>
  <c r="P228" i="6"/>
  <c r="R228" i="6"/>
  <c r="V228" i="6"/>
  <c r="S228" i="6"/>
  <c r="U228" i="6"/>
  <c r="O229" i="6"/>
  <c r="Q229" i="6"/>
  <c r="W229" i="6"/>
  <c r="V229" i="6"/>
  <c r="Z229" i="6"/>
  <c r="AH229" i="6"/>
  <c r="W230" i="6"/>
  <c r="Z230" i="6"/>
  <c r="AH230" i="6"/>
  <c r="W231" i="6"/>
  <c r="Z231" i="6"/>
  <c r="Q232" i="6"/>
  <c r="W232" i="6"/>
  <c r="Z232" i="6"/>
  <c r="AH232" i="6"/>
  <c r="O233" i="6"/>
  <c r="Z233" i="6"/>
  <c r="AH233" i="6"/>
  <c r="Q234" i="6"/>
  <c r="W234" i="6"/>
  <c r="Z234" i="6"/>
  <c r="AH234" i="6"/>
  <c r="Q235" i="6"/>
  <c r="W235" i="6"/>
  <c r="Z235" i="6"/>
  <c r="AH235" i="6"/>
  <c r="O236" i="6"/>
  <c r="Q236" i="6"/>
  <c r="W236" i="6"/>
  <c r="Z236" i="6"/>
  <c r="Q237" i="6"/>
  <c r="W237" i="6"/>
  <c r="Z237" i="6"/>
  <c r="AH237" i="6"/>
  <c r="O238" i="6"/>
  <c r="Q238" i="6"/>
  <c r="W238" i="6"/>
  <c r="Z238" i="6"/>
  <c r="AH238" i="6"/>
  <c r="Q239" i="6"/>
  <c r="W239" i="6"/>
  <c r="Z239" i="6"/>
  <c r="AH239" i="6"/>
  <c r="O240" i="6"/>
  <c r="W240" i="6"/>
  <c r="Z240" i="6"/>
  <c r="O241" i="6"/>
  <c r="Q241" i="6"/>
  <c r="W241" i="6"/>
  <c r="Z241" i="6"/>
  <c r="AH241" i="6"/>
  <c r="O242" i="6"/>
  <c r="Q242" i="6"/>
  <c r="W242" i="6"/>
  <c r="Z242" i="6"/>
  <c r="R243" i="6"/>
  <c r="U243" i="6"/>
  <c r="S243" i="6"/>
  <c r="X243" i="6"/>
  <c r="X244" i="6"/>
  <c r="Y243" i="6"/>
  <c r="Y244" i="6"/>
  <c r="AF243" i="6"/>
  <c r="AF244" i="6"/>
  <c r="AF249" i="6"/>
  <c r="AF247" i="6"/>
  <c r="AF248" i="6"/>
  <c r="AG243" i="6"/>
  <c r="AG244" i="6"/>
  <c r="AG247" i="6"/>
  <c r="AG248" i="6"/>
  <c r="AG249" i="6"/>
  <c r="R244" i="6"/>
  <c r="S244" i="6"/>
  <c r="U244" i="6"/>
  <c r="Y247" i="6"/>
  <c r="Y248" i="6"/>
  <c r="B245" i="6"/>
  <c r="C245" i="6"/>
  <c r="D245" i="6"/>
  <c r="O245" i="6"/>
  <c r="O246" i="6"/>
  <c r="W246" i="6"/>
  <c r="P248" i="6"/>
  <c r="R248" i="6"/>
  <c r="U248" i="6"/>
  <c r="V245" i="6"/>
  <c r="Z245" i="6"/>
  <c r="AH245" i="6"/>
  <c r="Z246" i="6"/>
  <c r="X247" i="6"/>
  <c r="X248" i="6"/>
  <c r="S248" i="6"/>
  <c r="S257" i="6"/>
  <c r="S258" i="6"/>
  <c r="S261" i="6"/>
  <c r="S262" i="6"/>
  <c r="P257" i="6"/>
  <c r="P258" i="6"/>
  <c r="P261" i="6"/>
  <c r="P249" i="6"/>
  <c r="R257" i="6"/>
  <c r="R258" i="6"/>
  <c r="R262" i="6"/>
  <c r="V262" i="6"/>
  <c r="R261" i="6"/>
  <c r="U257" i="6"/>
  <c r="U258" i="6"/>
  <c r="U249" i="6"/>
  <c r="U263" i="6"/>
  <c r="U261" i="6"/>
  <c r="O250" i="6"/>
  <c r="W250" i="6"/>
  <c r="W251" i="6"/>
  <c r="W252" i="6"/>
  <c r="W253" i="6"/>
  <c r="O254" i="6"/>
  <c r="X254" i="6"/>
  <c r="W255" i="6"/>
  <c r="O256" i="6"/>
  <c r="W256" i="6"/>
  <c r="X251" i="6"/>
  <c r="Z251" i="6"/>
  <c r="AH251" i="6"/>
  <c r="X252" i="6"/>
  <c r="Z252" i="6"/>
  <c r="X253" i="6"/>
  <c r="Z253" i="6"/>
  <c r="AH253" i="6"/>
  <c r="Q255" i="6"/>
  <c r="X255" i="6"/>
  <c r="Z255" i="6"/>
  <c r="AH255" i="6"/>
  <c r="T257" i="6"/>
  <c r="T258" i="6"/>
  <c r="V257" i="6"/>
  <c r="V258" i="6"/>
  <c r="Y257" i="6"/>
  <c r="Y258" i="6"/>
  <c r="AF257" i="6"/>
  <c r="AF258" i="6"/>
  <c r="AF262" i="6"/>
  <c r="AF260" i="6"/>
  <c r="AF261" i="6"/>
  <c r="AG257" i="6"/>
  <c r="AG258" i="6"/>
  <c r="AG262" i="6"/>
  <c r="Q259" i="6"/>
  <c r="W259" i="6"/>
  <c r="W260" i="6"/>
  <c r="Z259" i="6"/>
  <c r="AH259" i="6"/>
  <c r="O260" i="6"/>
  <c r="O261" i="6"/>
  <c r="P260" i="6"/>
  <c r="R260" i="6"/>
  <c r="S260" i="6"/>
  <c r="U260" i="6"/>
  <c r="V260" i="6"/>
  <c r="X260" i="6"/>
  <c r="X261" i="6"/>
  <c r="Y260" i="6"/>
  <c r="Z260" i="6"/>
  <c r="AG260" i="6"/>
  <c r="AG261" i="6"/>
  <c r="T263" i="6"/>
  <c r="Q28" i="6"/>
  <c r="Z28" i="6"/>
  <c r="Q18" i="6"/>
  <c r="W18" i="6"/>
  <c r="W23" i="6"/>
  <c r="V111" i="6"/>
  <c r="W25" i="6"/>
  <c r="AD25" i="6"/>
  <c r="V135" i="6"/>
  <c r="W135" i="6"/>
  <c r="Q107" i="6"/>
  <c r="W99" i="6"/>
  <c r="Z43" i="6"/>
  <c r="Z37" i="6"/>
  <c r="E44" i="6"/>
  <c r="E58" i="6"/>
  <c r="E80" i="6"/>
  <c r="Q108" i="6"/>
  <c r="Z90" i="6"/>
  <c r="AO67" i="6"/>
  <c r="AG40" i="6"/>
  <c r="AG43" i="6"/>
  <c r="AG91" i="6"/>
  <c r="AG98" i="6"/>
  <c r="O23" i="6"/>
  <c r="Q21" i="6"/>
  <c r="W21" i="6"/>
  <c r="B92" i="6"/>
  <c r="B99" i="6"/>
  <c r="B116" i="6"/>
  <c r="B127" i="6"/>
  <c r="B141" i="6"/>
  <c r="Q100" i="6"/>
  <c r="W73" i="6"/>
  <c r="W134" i="6"/>
  <c r="Q106" i="6"/>
  <c r="AH42" i="6"/>
  <c r="Q90" i="6"/>
  <c r="AG62" i="6"/>
  <c r="AG90" i="6"/>
  <c r="X250" i="6"/>
  <c r="V261" i="6"/>
  <c r="Z226" i="6"/>
  <c r="V248" i="6"/>
  <c r="Z96" i="6"/>
  <c r="Z118" i="6"/>
  <c r="W155" i="6"/>
  <c r="Q126" i="6"/>
  <c r="W111" i="6"/>
  <c r="AF115" i="6"/>
  <c r="O243" i="6"/>
  <c r="Q243" i="6"/>
  <c r="O219" i="6"/>
  <c r="Q199" i="6"/>
  <c r="W37" i="6"/>
  <c r="AD37" i="6"/>
  <c r="U262" i="6"/>
  <c r="Z219" i="6"/>
  <c r="O57" i="6"/>
  <c r="Z57" i="6"/>
  <c r="Q233" i="6"/>
  <c r="W233" i="6"/>
  <c r="W225" i="6"/>
  <c r="T153" i="6"/>
  <c r="O257" i="6"/>
  <c r="O258" i="6"/>
  <c r="O262" i="6"/>
  <c r="W46" i="6"/>
  <c r="X97" i="6"/>
  <c r="Z97" i="6"/>
  <c r="AG93" i="6"/>
  <c r="AG96" i="6"/>
  <c r="P91" i="6"/>
  <c r="P98" i="6"/>
  <c r="O214" i="6"/>
  <c r="W200" i="6"/>
  <c r="Z247" i="6"/>
  <c r="V243" i="6"/>
  <c r="W154" i="6"/>
  <c r="Z126" i="6"/>
  <c r="AH126" i="6"/>
  <c r="O96" i="6"/>
  <c r="W96" i="6"/>
  <c r="AD96" i="6"/>
  <c r="P153" i="6"/>
  <c r="P160" i="6"/>
  <c r="X256" i="6"/>
  <c r="Z256" i="6"/>
  <c r="AF227" i="6"/>
  <c r="AF228" i="6"/>
  <c r="Z158" i="6"/>
  <c r="AD158" i="6"/>
  <c r="Q158" i="6"/>
  <c r="Q159" i="6"/>
  <c r="V158" i="6"/>
  <c r="V159" i="6"/>
  <c r="Y153" i="6"/>
  <c r="Y160" i="6"/>
  <c r="U153" i="6"/>
  <c r="U160" i="6"/>
  <c r="W94" i="6"/>
  <c r="V183" i="6"/>
  <c r="V193" i="6"/>
  <c r="R193" i="6"/>
  <c r="R194" i="6"/>
  <c r="R115" i="6"/>
  <c r="W109" i="6"/>
  <c r="W103" i="6"/>
  <c r="O115" i="6"/>
  <c r="Q103" i="6"/>
  <c r="Q115" i="6"/>
  <c r="AF43" i="6"/>
  <c r="AF91" i="6"/>
  <c r="T91" i="6"/>
  <c r="T98" i="6"/>
  <c r="R90" i="6"/>
  <c r="F44" i="6"/>
  <c r="F58" i="6"/>
  <c r="V109" i="6"/>
  <c r="V115" i="6"/>
  <c r="Q25" i="6"/>
  <c r="W58" i="6"/>
  <c r="W60" i="6"/>
  <c r="AF100" i="6"/>
  <c r="AF153" i="6"/>
  <c r="AF160" i="6"/>
  <c r="Q250" i="6"/>
  <c r="Q257" i="6"/>
  <c r="Q258" i="6"/>
  <c r="V244" i="6"/>
  <c r="O159" i="6"/>
  <c r="W158" i="6"/>
  <c r="W159" i="6"/>
  <c r="X153" i="6"/>
  <c r="X160" i="6"/>
  <c r="V126" i="6"/>
  <c r="S153" i="6"/>
  <c r="S160" i="6"/>
  <c r="Q23" i="6"/>
  <c r="Q91" i="6"/>
  <c r="W162" i="6"/>
  <c r="Q162" i="6"/>
  <c r="AH116" i="6"/>
  <c r="AG116" i="6"/>
  <c r="AG118" i="6"/>
  <c r="Q260" i="6"/>
  <c r="Q261" i="6"/>
  <c r="W191" i="6"/>
  <c r="X182" i="6"/>
  <c r="Z181" i="6"/>
  <c r="AH181" i="6"/>
  <c r="O193" i="6"/>
  <c r="O194" i="6"/>
  <c r="W157" i="6"/>
  <c r="R140" i="6"/>
  <c r="W140" i="6"/>
  <c r="AD140" i="6"/>
  <c r="Z100" i="6"/>
  <c r="AD100" i="6"/>
  <c r="Z60" i="6"/>
  <c r="W222" i="6"/>
  <c r="AF159" i="6"/>
  <c r="W43" i="6"/>
  <c r="AD43" i="6"/>
  <c r="V43" i="6"/>
  <c r="C61" i="6"/>
  <c r="W19" i="6"/>
  <c r="O182" i="6"/>
  <c r="Q150" i="6"/>
  <c r="W150" i="6"/>
  <c r="O152" i="6"/>
  <c r="V61" i="6"/>
  <c r="Z250" i="6"/>
  <c r="W254" i="6"/>
  <c r="W257" i="6"/>
  <c r="W258" i="6"/>
  <c r="O203" i="6"/>
  <c r="X249" i="6"/>
  <c r="O248" i="6"/>
  <c r="Q248" i="6"/>
  <c r="W248" i="6"/>
  <c r="O247" i="6"/>
  <c r="Q245" i="6"/>
  <c r="W245" i="6"/>
  <c r="W247" i="6"/>
  <c r="AD247" i="6"/>
  <c r="Z203" i="6"/>
  <c r="AD203" i="6"/>
  <c r="Y91" i="6"/>
  <c r="Z91" i="6"/>
  <c r="B80" i="6"/>
  <c r="Z152" i="6"/>
  <c r="AH114" i="6"/>
  <c r="Y183" i="6"/>
  <c r="Y193" i="6"/>
  <c r="AG151" i="6"/>
  <c r="AG152" i="6"/>
  <c r="AF152" i="6"/>
  <c r="Z23" i="6"/>
  <c r="X91" i="6"/>
  <c r="Q37" i="6"/>
  <c r="Q92" i="6"/>
  <c r="Q96" i="6"/>
  <c r="W116" i="6"/>
  <c r="Q118" i="6"/>
  <c r="V95" i="6"/>
  <c r="W95" i="6"/>
  <c r="X227" i="6"/>
  <c r="R118" i="6"/>
  <c r="W118" i="6"/>
  <c r="AD118" i="6"/>
  <c r="W114" i="16"/>
  <c r="W115" i="16" s="1"/>
  <c r="O244" i="6"/>
  <c r="W244" i="6"/>
  <c r="AD126" i="6"/>
  <c r="Z153" i="6"/>
  <c r="AD60" i="6"/>
  <c r="O153" i="6"/>
  <c r="O160" i="6"/>
  <c r="W61" i="6"/>
  <c r="W193" i="6"/>
  <c r="W92" i="6"/>
  <c r="Z183" i="6"/>
  <c r="Q203" i="6"/>
  <c r="Q204" i="6"/>
  <c r="W203" i="6"/>
  <c r="W204" i="6"/>
  <c r="O204" i="6"/>
  <c r="C80" i="6"/>
  <c r="C92" i="6"/>
  <c r="X98" i="6"/>
  <c r="Z227" i="6"/>
  <c r="X228" i="6"/>
  <c r="Q247" i="6"/>
  <c r="O249" i="6"/>
  <c r="Q244" i="6"/>
  <c r="Z160" i="6"/>
  <c r="O227" i="6"/>
  <c r="P264" i="6"/>
  <c r="Q181" i="6"/>
  <c r="Q182" i="6"/>
  <c r="Q205" i="6"/>
  <c r="AF205" i="6"/>
  <c r="S205" i="6"/>
  <c r="Q226" i="6"/>
  <c r="W220" i="6"/>
  <c r="W226" i="6"/>
  <c r="AD226" i="6"/>
  <c r="Q194" i="6"/>
  <c r="W194" i="6"/>
  <c r="O205" i="6"/>
  <c r="AD260" i="6"/>
  <c r="W261" i="6"/>
  <c r="R249" i="6"/>
  <c r="X205" i="6"/>
  <c r="V194" i="6"/>
  <c r="V205" i="6"/>
  <c r="R205" i="6"/>
  <c r="AD219" i="6"/>
  <c r="W144" i="6"/>
  <c r="Q152" i="6"/>
  <c r="Q153" i="6"/>
  <c r="Q160" i="6"/>
  <c r="AD23" i="6"/>
  <c r="W152" i="6"/>
  <c r="AF98" i="6"/>
  <c r="AF264" i="6"/>
  <c r="Q262" i="6"/>
  <c r="W262" i="6"/>
  <c r="O263" i="6"/>
  <c r="X257" i="6"/>
  <c r="Z254" i="6"/>
  <c r="Z248" i="6"/>
  <c r="AD248" i="6"/>
  <c r="Z244" i="6"/>
  <c r="AD244" i="6"/>
  <c r="Y249" i="6"/>
  <c r="W216" i="6"/>
  <c r="W219" i="6"/>
  <c r="Q219" i="6"/>
  <c r="U205" i="6"/>
  <c r="Q214" i="6"/>
  <c r="W206" i="6"/>
  <c r="W214" i="6"/>
  <c r="V96" i="6"/>
  <c r="R97" i="6"/>
  <c r="V97" i="6"/>
  <c r="D44" i="6"/>
  <c r="D58" i="6"/>
  <c r="D61" i="6"/>
  <c r="D80" i="6"/>
  <c r="Q249" i="6"/>
  <c r="P263" i="6"/>
  <c r="Z159" i="6"/>
  <c r="AD159" i="6"/>
  <c r="V63" i="6"/>
  <c r="W63" i="6"/>
  <c r="W90" i="6"/>
  <c r="U90" i="6"/>
  <c r="U91" i="6"/>
  <c r="U98" i="6"/>
  <c r="Z193" i="6"/>
  <c r="Y194" i="6"/>
  <c r="Y205" i="6"/>
  <c r="Z249" i="6"/>
  <c r="AD204" i="6"/>
  <c r="W188" i="6"/>
  <c r="Q193" i="6"/>
  <c r="P262" i="6"/>
  <c r="Z243" i="6"/>
  <c r="AD243" i="6"/>
  <c r="Q166" i="6"/>
  <c r="Y261" i="6"/>
  <c r="Z261" i="6"/>
  <c r="AD261" i="6"/>
  <c r="W117" i="6"/>
  <c r="O91" i="6"/>
  <c r="O98" i="6"/>
  <c r="W184" i="6"/>
  <c r="W166" i="6"/>
  <c r="W181" i="6"/>
  <c r="AG154" i="6"/>
  <c r="AG158" i="6"/>
  <c r="AG159" i="6"/>
  <c r="AG160" i="6"/>
  <c r="AG264" i="6"/>
  <c r="Y98" i="6"/>
  <c r="V90" i="6"/>
  <c r="V91" i="6"/>
  <c r="V98" i="6"/>
  <c r="R91" i="6"/>
  <c r="R98" i="6"/>
  <c r="R264" i="6"/>
  <c r="R153" i="6"/>
  <c r="R160" i="6"/>
  <c r="W160" i="6"/>
  <c r="W183" i="6"/>
  <c r="O97" i="6"/>
  <c r="Z214" i="6"/>
  <c r="AD214" i="6"/>
  <c r="V140" i="6"/>
  <c r="V153" i="6"/>
  <c r="V160" i="6"/>
  <c r="Z182" i="6"/>
  <c r="W243" i="6"/>
  <c r="B44" i="6"/>
  <c r="B58" i="6"/>
  <c r="T160" i="6"/>
  <c r="T264" i="6"/>
  <c r="O226" i="6"/>
  <c r="S98" i="6"/>
  <c r="S249" i="6"/>
  <c r="S263" i="6"/>
  <c r="Z115" i="6"/>
  <c r="AD115" i="6"/>
  <c r="A116" i="16"/>
  <c r="A135" i="16" s="1"/>
  <c r="A103" i="16"/>
  <c r="AD95" i="16"/>
  <c r="AB114" i="16"/>
  <c r="AB115" i="16" s="1"/>
  <c r="Z42" i="16"/>
  <c r="AD90" i="6"/>
  <c r="W91" i="6"/>
  <c r="W182" i="6"/>
  <c r="W205" i="6"/>
  <c r="AD181" i="6"/>
  <c r="O264" i="6"/>
  <c r="W264" i="6"/>
  <c r="X258" i="6"/>
  <c r="Z257" i="6"/>
  <c r="Z194" i="6"/>
  <c r="Y262" i="6"/>
  <c r="Y264" i="6"/>
  <c r="AD193" i="6"/>
  <c r="AH193" i="6"/>
  <c r="Z205" i="6"/>
  <c r="U264" i="6"/>
  <c r="AH182" i="6"/>
  <c r="Z98" i="6"/>
  <c r="V249" i="6"/>
  <c r="V263" i="6"/>
  <c r="R263" i="6"/>
  <c r="AD152" i="6"/>
  <c r="W153" i="6"/>
  <c r="AD153" i="6"/>
  <c r="Q227" i="6"/>
  <c r="O228" i="6"/>
  <c r="W227" i="6"/>
  <c r="AD227" i="6"/>
  <c r="S264" i="6"/>
  <c r="Q97" i="6"/>
  <c r="Q98" i="6"/>
  <c r="W97" i="6"/>
  <c r="AD97" i="6"/>
  <c r="Q263" i="6"/>
  <c r="W249" i="6"/>
  <c r="W263" i="6"/>
  <c r="AD160" i="6"/>
  <c r="AD182" i="6"/>
  <c r="AH194" i="6"/>
  <c r="AD194" i="6"/>
  <c r="W98" i="6"/>
  <c r="AD91" i="6"/>
  <c r="AH257" i="6"/>
  <c r="AD257" i="6"/>
  <c r="Y263" i="6"/>
  <c r="X262" i="6"/>
  <c r="Z258" i="6"/>
  <c r="Q264" i="6"/>
  <c r="AD205" i="6"/>
  <c r="AE228" i="6"/>
  <c r="AE264" i="6"/>
  <c r="AD249" i="6"/>
  <c r="Q228" i="6"/>
  <c r="W228" i="6"/>
  <c r="AD228" i="6"/>
  <c r="V264" i="6"/>
  <c r="AD98" i="6"/>
  <c r="Z262" i="6"/>
  <c r="X263" i="6"/>
  <c r="X264" i="6"/>
  <c r="AH258" i="6"/>
  <c r="AD258" i="6"/>
  <c r="AD262" i="6"/>
  <c r="Z263" i="6"/>
  <c r="AD263" i="6"/>
  <c r="Z264" i="6"/>
  <c r="AD264" i="6"/>
  <c r="Z182" i="16"/>
  <c r="Z34" i="16" l="1"/>
  <c r="W162" i="16"/>
  <c r="AK134" i="16"/>
  <c r="AB202" i="16"/>
  <c r="AB203" i="16" s="1"/>
  <c r="X38" i="21"/>
  <c r="AK162" i="16"/>
  <c r="X62" i="21"/>
  <c r="X43" i="21"/>
  <c r="X44" i="21" s="1"/>
  <c r="AA190" i="16"/>
  <c r="AA202" i="16" s="1"/>
  <c r="W131" i="16"/>
  <c r="Z131" i="16" s="1"/>
  <c r="AD141" i="16"/>
  <c r="AA162" i="16"/>
  <c r="AA163" i="16" s="1"/>
  <c r="AD163" i="16" s="1"/>
  <c r="AD66" i="16"/>
  <c r="AD80" i="16" s="1"/>
  <c r="AA80" i="16"/>
  <c r="AA81" i="16" s="1"/>
  <c r="AD81" i="16" s="1"/>
  <c r="AK201" i="16"/>
  <c r="AK59" i="16"/>
  <c r="AJ202" i="16"/>
  <c r="AJ203" i="16" s="1"/>
  <c r="AJ204" i="16" s="1"/>
  <c r="T44" i="21"/>
  <c r="U51" i="21"/>
  <c r="X51" i="21" s="1"/>
  <c r="T60" i="21"/>
  <c r="T62" i="21" s="1"/>
  <c r="X69" i="21"/>
  <c r="T15" i="21"/>
  <c r="T38" i="21" s="1"/>
  <c r="Y82" i="16"/>
  <c r="Y165" i="16" s="1"/>
  <c r="AK56" i="16"/>
  <c r="W36" i="16"/>
  <c r="W60" i="16" s="1"/>
  <c r="Z141" i="16"/>
  <c r="X134" i="16"/>
  <c r="X114" i="16"/>
  <c r="X115" i="16" s="1"/>
  <c r="Z29" i="16"/>
  <c r="W80" i="16"/>
  <c r="Z80" i="16" s="1"/>
  <c r="Z180" i="16"/>
  <c r="Z190" i="16" s="1"/>
  <c r="A61" i="16"/>
  <c r="A37" i="16"/>
  <c r="A47" i="16" s="1"/>
  <c r="Z56" i="16"/>
  <c r="AB56" i="16"/>
  <c r="AB60" i="16" s="1"/>
  <c r="AB82" i="16" s="1"/>
  <c r="AD131" i="16"/>
  <c r="Z103" i="16"/>
  <c r="Z114" i="16" s="1"/>
  <c r="AA134" i="16"/>
  <c r="Z199" i="16"/>
  <c r="AD172" i="16"/>
  <c r="AD190" i="16" s="1"/>
  <c r="W190" i="16"/>
  <c r="W202" i="16" s="1"/>
  <c r="Y202" i="16"/>
  <c r="Y203" i="16" s="1"/>
  <c r="AC202" i="16"/>
  <c r="AC203" i="16" s="1"/>
  <c r="AC204" i="16" s="1"/>
  <c r="Q45" i="21"/>
  <c r="X57" i="21"/>
  <c r="T78" i="21"/>
  <c r="AE69" i="21"/>
  <c r="AE92" i="21" s="1"/>
  <c r="AD22" i="16"/>
  <c r="AD23" i="16" s="1"/>
  <c r="Z59" i="16"/>
  <c r="AB134" i="16"/>
  <c r="AB164" i="16" s="1"/>
  <c r="A180" i="16"/>
  <c r="AH164" i="16"/>
  <c r="T57" i="21"/>
  <c r="T85" i="21"/>
  <c r="V84" i="21" s="1"/>
  <c r="X84" i="21" s="1"/>
  <c r="X85" i="21" s="1"/>
  <c r="T51" i="21"/>
  <c r="T10" i="21"/>
  <c r="T11" i="21" s="1"/>
  <c r="AE38" i="21"/>
  <c r="AB96" i="21"/>
  <c r="X60" i="16"/>
  <c r="X82" i="16" s="1"/>
  <c r="X202" i="16"/>
  <c r="X203" i="16" s="1"/>
  <c r="X78" i="21"/>
  <c r="AK163" i="16"/>
  <c r="AD59" i="16"/>
  <c r="AD114" i="16"/>
  <c r="AD123" i="16"/>
  <c r="B37" i="16"/>
  <c r="B47" i="16" s="1"/>
  <c r="AD36" i="16"/>
  <c r="AM36" i="16" s="1"/>
  <c r="AD201" i="16"/>
  <c r="Z123" i="16"/>
  <c r="Z201" i="16"/>
  <c r="AH82" i="16"/>
  <c r="AI23" i="16"/>
  <c r="AI202" i="16"/>
  <c r="AI203" i="16" s="1"/>
  <c r="AI81" i="16"/>
  <c r="AK81" i="16" s="1"/>
  <c r="W23" i="16"/>
  <c r="AI164" i="16"/>
  <c r="AA60" i="16"/>
  <c r="C37" i="16"/>
  <c r="C47" i="16" s="1"/>
  <c r="W163" i="16" l="1"/>
  <c r="Z163" i="16" s="1"/>
  <c r="Z160" i="16"/>
  <c r="Z115" i="16"/>
  <c r="AK203" i="16"/>
  <c r="W134" i="16"/>
  <c r="X92" i="21"/>
  <c r="AD115" i="16"/>
  <c r="X45" i="21"/>
  <c r="U45" i="21"/>
  <c r="AK60" i="16"/>
  <c r="AD134" i="16"/>
  <c r="U92" i="21"/>
  <c r="Y204" i="16"/>
  <c r="AK23" i="16"/>
  <c r="AI82" i="16"/>
  <c r="AI204" i="16" s="1"/>
  <c r="AB97" i="21"/>
  <c r="AK164" i="16"/>
  <c r="Z162" i="16"/>
  <c r="AA82" i="16"/>
  <c r="X164" i="16"/>
  <c r="X165" i="16" s="1"/>
  <c r="X204" i="16" s="1"/>
  <c r="Z134" i="16"/>
  <c r="Z36" i="16"/>
  <c r="Z60" i="16" s="1"/>
  <c r="W81" i="16"/>
  <c r="W82" i="16" s="1"/>
  <c r="AD56" i="16"/>
  <c r="AN115" i="16"/>
  <c r="AA164" i="16"/>
  <c r="AD164" i="16" s="1"/>
  <c r="AD162" i="16"/>
  <c r="AH165" i="16"/>
  <c r="Z202" i="16"/>
  <c r="T45" i="21"/>
  <c r="AE96" i="21"/>
  <c r="W203" i="16"/>
  <c r="Z203" i="16" s="1"/>
  <c r="AB165" i="16"/>
  <c r="AB204" i="16" s="1"/>
  <c r="AH204" i="16"/>
  <c r="AK202" i="16"/>
  <c r="AD202" i="16"/>
  <c r="AA203" i="16"/>
  <c r="AD203" i="16" s="1"/>
  <c r="W164" i="16" l="1"/>
  <c r="Z164" i="16" s="1"/>
  <c r="U96" i="21"/>
  <c r="U97" i="21" s="1"/>
  <c r="X97" i="21" s="1"/>
  <c r="G5" i="23" s="1"/>
  <c r="AD60" i="16"/>
  <c r="AL56" i="16"/>
  <c r="X96" i="21"/>
  <c r="AE97" i="21"/>
  <c r="AK82" i="16"/>
  <c r="Z81" i="16"/>
  <c r="Z82" i="16" s="1"/>
  <c r="I5" i="23"/>
  <c r="AA165" i="16"/>
  <c r="AA204" i="16" s="1"/>
  <c r="AD82" i="16"/>
  <c r="W165" i="16"/>
  <c r="Z165" i="16" s="1"/>
  <c r="AI165" i="16"/>
  <c r="AK165" i="16" s="1"/>
  <c r="AK204" i="16" l="1"/>
  <c r="Z204" i="16"/>
  <c r="AD165" i="16"/>
  <c r="W204" i="16"/>
  <c r="I6" i="23" l="1"/>
  <c r="I7" i="23" s="1"/>
  <c r="AD204" i="16"/>
  <c r="D6" i="23"/>
  <c r="T66" i="21"/>
  <c r="G6" i="23" l="1"/>
  <c r="G7" i="23" s="1"/>
  <c r="J6" i="23"/>
  <c r="F6" i="23"/>
  <c r="T69" i="21"/>
  <c r="T92" i="21" s="1"/>
  <c r="T96" i="21" s="1"/>
  <c r="T97" i="21" s="1"/>
  <c r="H6" i="23" l="1"/>
  <c r="D5" i="23"/>
  <c r="J5" i="23" l="1"/>
  <c r="F5" i="23"/>
  <c r="H5" i="23"/>
  <c r="D7" i="23"/>
  <c r="J7" i="23" l="1"/>
  <c r="F7" i="23"/>
  <c r="H7" i="23"/>
  <c r="Q69" i="21" l="1"/>
  <c r="Q92" i="21" l="1"/>
  <c r="Q96" i="21" s="1"/>
  <c r="Q97" i="21" s="1"/>
</calcChain>
</file>

<file path=xl/comments1.xml><?xml version="1.0" encoding="utf-8"?>
<comments xmlns="http://schemas.openxmlformats.org/spreadsheetml/2006/main">
  <authors>
    <author>Martha Cecilia Quintero Barreiro</author>
    <author>nrozo</author>
    <author>Nohora María Esperanza Rozo Guevara</author>
  </authors>
  <commentList>
    <comment ref="Q21" authorId="0" shapeId="0">
      <text>
        <r>
          <rPr>
            <b/>
            <sz val="9"/>
            <color indexed="81"/>
            <rFont val="Tahoma"/>
            <family val="2"/>
          </rPr>
          <t>Martha Cecilia Quintero Barreiro:</t>
        </r>
        <r>
          <rPr>
            <sz val="9"/>
            <color indexed="81"/>
            <rFont val="Tahoma"/>
            <family val="2"/>
          </rPr>
          <t xml:space="preserve">
Se modifica de acuerdo al Memorando 840 del 31/07/2018</t>
        </r>
      </text>
    </comment>
    <comment ref="I28" authorId="0" shapeId="0">
      <text>
        <r>
          <rPr>
            <b/>
            <sz val="9"/>
            <color indexed="81"/>
            <rFont val="Tahoma"/>
            <family val="2"/>
          </rPr>
          <t>Martha Cecilia Quintero Barreiro:</t>
        </r>
        <r>
          <rPr>
            <sz val="9"/>
            <color indexed="81"/>
            <rFont val="Tahoma"/>
            <family val="2"/>
          </rPr>
          <t xml:space="preserve">
Se modifica el  objeto contractual de acuerdo al Memorando NO.143 del 18/01/2018</t>
        </r>
      </text>
    </comment>
    <comment ref="I29" authorId="0" shapeId="0">
      <text>
        <r>
          <rPr>
            <b/>
            <sz val="9"/>
            <color indexed="81"/>
            <rFont val="Tahoma"/>
            <family val="2"/>
          </rPr>
          <t>Martha Cecilia Quintero Barreiro:</t>
        </r>
        <r>
          <rPr>
            <sz val="9"/>
            <color indexed="81"/>
            <rFont val="Tahoma"/>
            <family val="2"/>
          </rPr>
          <t xml:space="preserve">
Se modifica de acuerdo al Memorando 840 del 31/07/2018</t>
        </r>
      </text>
    </comment>
    <comment ref="W29" authorId="0" shapeId="0">
      <text>
        <r>
          <rPr>
            <b/>
            <sz val="9"/>
            <color indexed="81"/>
            <rFont val="Tahoma"/>
            <family val="2"/>
          </rPr>
          <t>Martha Cecilia Quintero Barreiro:Se modifica de auerdo al Memorando 840 del 31/07/2018</t>
        </r>
      </text>
    </comment>
    <comment ref="I30" authorId="0" shapeId="0">
      <text>
        <r>
          <rPr>
            <b/>
            <sz val="9"/>
            <color indexed="81"/>
            <rFont val="Tahoma"/>
            <family val="2"/>
          </rPr>
          <t>Martha Cecilia Quintero Barreiro:</t>
        </r>
        <r>
          <rPr>
            <sz val="9"/>
            <color indexed="81"/>
            <rFont val="Tahoma"/>
            <family val="2"/>
          </rPr>
          <t xml:space="preserve">
Se modifica de acuerdo al Memorando 840 del 31/07/2018</t>
        </r>
      </text>
    </comment>
    <comment ref="I31" authorId="0" shapeId="0">
      <text>
        <r>
          <rPr>
            <b/>
            <sz val="9"/>
            <color indexed="81"/>
            <rFont val="Tahoma"/>
            <family val="2"/>
          </rPr>
          <t>Martha Cecilia Quintero Barreiro:</t>
        </r>
        <r>
          <rPr>
            <sz val="9"/>
            <color indexed="81"/>
            <rFont val="Tahoma"/>
            <family val="2"/>
          </rPr>
          <t xml:space="preserve">
Se modifica de acuerdo al Memorando 840 del 31/07/2018</t>
        </r>
      </text>
    </comment>
    <comment ref="I32" authorId="0" shapeId="0">
      <text>
        <r>
          <rPr>
            <b/>
            <sz val="9"/>
            <color indexed="81"/>
            <rFont val="Tahoma"/>
            <family val="2"/>
          </rPr>
          <t>Martha Cecilia Quintero Barreiro:</t>
        </r>
        <r>
          <rPr>
            <sz val="9"/>
            <color indexed="81"/>
            <rFont val="Tahoma"/>
            <family val="2"/>
          </rPr>
          <t xml:space="preserve">
Se modifica de acuerdo al Memorando 840 del 31/07/2018</t>
        </r>
      </text>
    </comment>
    <comment ref="W32" authorId="0" shapeId="0">
      <text>
        <r>
          <rPr>
            <b/>
            <sz val="9"/>
            <color indexed="81"/>
            <rFont val="Tahoma"/>
            <family val="2"/>
          </rPr>
          <t>Martha Cecilia Quintero Barreiro:</t>
        </r>
        <r>
          <rPr>
            <sz val="9"/>
            <color indexed="81"/>
            <rFont val="Tahoma"/>
            <family val="2"/>
          </rPr>
          <t xml:space="preserve">
Se modifica de acuerdo al Memorando 840 del 31/07/2018</t>
        </r>
      </text>
    </comment>
    <comment ref="I33" authorId="0" shapeId="0">
      <text>
        <r>
          <rPr>
            <b/>
            <sz val="9"/>
            <color indexed="81"/>
            <rFont val="Tahoma"/>
            <family val="2"/>
          </rPr>
          <t>Martha Cecilia Quintero Barreiro:</t>
        </r>
        <r>
          <rPr>
            <sz val="9"/>
            <color indexed="81"/>
            <rFont val="Tahoma"/>
            <family val="2"/>
          </rPr>
          <t xml:space="preserve">
Se modifica de acuerdo al Memorando 840 del 31/07/2018</t>
        </r>
      </text>
    </comment>
    <comment ref="I34" authorId="0" shapeId="0">
      <text>
        <r>
          <rPr>
            <b/>
            <sz val="9"/>
            <color indexed="81"/>
            <rFont val="Tahoma"/>
            <family val="2"/>
          </rPr>
          <t>Martha Cecilia Quintero Barreiro:</t>
        </r>
        <r>
          <rPr>
            <sz val="9"/>
            <color indexed="81"/>
            <rFont val="Tahoma"/>
            <family val="2"/>
          </rPr>
          <t xml:space="preserve">
Se modifica de acuerdo al Memorando 840 del 31/07/2018</t>
        </r>
      </text>
    </comment>
    <comment ref="Q34" authorId="0" shapeId="0">
      <text>
        <r>
          <rPr>
            <b/>
            <sz val="9"/>
            <color indexed="81"/>
            <rFont val="Tahoma"/>
            <family val="2"/>
          </rPr>
          <t>Martha Cecilia Quintero Barreiro:</t>
        </r>
        <r>
          <rPr>
            <sz val="9"/>
            <color indexed="81"/>
            <rFont val="Tahoma"/>
            <family val="2"/>
          </rPr>
          <t xml:space="preserve">
se modfica de acuerdo al Memorando No. 1027 del 27/08/2018</t>
        </r>
      </text>
    </comment>
    <comment ref="S34" authorId="0" shapeId="0">
      <text>
        <r>
          <rPr>
            <b/>
            <sz val="9"/>
            <color indexed="81"/>
            <rFont val="Tahoma"/>
            <family val="2"/>
          </rPr>
          <t>Martha Cecilia Quintero Barreiro:</t>
        </r>
        <r>
          <rPr>
            <sz val="9"/>
            <color indexed="81"/>
            <rFont val="Tahoma"/>
            <family val="2"/>
          </rPr>
          <t xml:space="preserve">
Se modifica de acuerdo al Memorando No. 962 del 15/08/2018</t>
        </r>
      </text>
    </comment>
    <comment ref="X34" authorId="0" shapeId="0">
      <text>
        <r>
          <rPr>
            <b/>
            <sz val="9"/>
            <color indexed="81"/>
            <rFont val="Tahoma"/>
            <family val="2"/>
          </rPr>
          <t>Martha Cecilia Quintero Barreiro:</t>
        </r>
        <r>
          <rPr>
            <sz val="9"/>
            <color indexed="81"/>
            <rFont val="Tahoma"/>
            <family val="2"/>
          </rPr>
          <t xml:space="preserve">
Se adicionan 145,881,742 de acuerdo al memorando No. 861 de 02/08/2018</t>
        </r>
      </text>
    </comment>
    <comment ref="AA34" authorId="0" shapeId="0">
      <text/>
    </comment>
    <comment ref="I35" authorId="0" shapeId="0">
      <text>
        <r>
          <rPr>
            <b/>
            <sz val="9"/>
            <color indexed="81"/>
            <rFont val="Tahoma"/>
            <family val="2"/>
          </rPr>
          <t>Martha Cecilia Quintero Barreiro:</t>
        </r>
        <r>
          <rPr>
            <sz val="9"/>
            <color indexed="81"/>
            <rFont val="Tahoma"/>
            <family val="2"/>
          </rPr>
          <t xml:space="preserve">
Se modifica de acuerdo al Memorando 840 del 31/07/2018</t>
        </r>
      </text>
    </comment>
    <comment ref="I40" authorId="0" shapeId="0">
      <text>
        <r>
          <rPr>
            <b/>
            <sz val="9"/>
            <color indexed="81"/>
            <rFont val="Tahoma"/>
            <family val="2"/>
          </rPr>
          <t>Martha Cecilia Quintero Barreiro:</t>
        </r>
        <r>
          <rPr>
            <sz val="9"/>
            <color indexed="81"/>
            <rFont val="Tahoma"/>
            <family val="2"/>
          </rPr>
          <t xml:space="preserve">
Se modifica el  objeto contractual de acuerdo al Memorando NO.143 del 18/01/2018</t>
        </r>
      </text>
    </comment>
    <comment ref="I41" authorId="0" shapeId="0">
      <text>
        <r>
          <rPr>
            <b/>
            <sz val="9"/>
            <color indexed="81"/>
            <rFont val="Tahoma"/>
            <family val="2"/>
          </rPr>
          <t>Martha Cecilia Quintero Barreiro:</t>
        </r>
        <r>
          <rPr>
            <sz val="9"/>
            <color indexed="81"/>
            <rFont val="Tahoma"/>
            <family val="2"/>
          </rPr>
          <t xml:space="preserve">
Se modifica el  objeto contractual de acuerdo al Memorando NO.143 del 18/01/2018</t>
        </r>
      </text>
    </comment>
    <comment ref="I42" authorId="0" shapeId="0">
      <text>
        <r>
          <rPr>
            <b/>
            <sz val="9"/>
            <color indexed="81"/>
            <rFont val="Tahoma"/>
            <family val="2"/>
          </rPr>
          <t>Martha Cecilia Quintero Barreiro:</t>
        </r>
        <r>
          <rPr>
            <sz val="9"/>
            <color indexed="81"/>
            <rFont val="Tahoma"/>
            <family val="2"/>
          </rPr>
          <t xml:space="preserve">
Se modifica el  objeto contractual de acuerdo al Memorando NO.143 del 18/01/2018</t>
        </r>
      </text>
    </comment>
    <comment ref="I68" authorId="0" shapeId="0">
      <text>
        <r>
          <rPr>
            <b/>
            <sz val="9"/>
            <color indexed="81"/>
            <rFont val="Tahoma"/>
            <family val="2"/>
          </rPr>
          <t>Martha Cecilia Quintero Barreiro:</t>
        </r>
        <r>
          <rPr>
            <sz val="9"/>
            <color indexed="81"/>
            <rFont val="Tahoma"/>
            <family val="2"/>
          </rPr>
          <t xml:space="preserve">
Se crea objeto contrctual de acuerdo al Memorando No. 1191 del 09/10/2018</t>
        </r>
      </text>
    </comment>
    <comment ref="I69" authorId="0" shapeId="0">
      <text>
        <r>
          <rPr>
            <b/>
            <sz val="9"/>
            <color indexed="81"/>
            <rFont val="Tahoma"/>
            <family val="2"/>
          </rPr>
          <t>Martha Cecilia Quintero Barreiro:</t>
        </r>
        <r>
          <rPr>
            <sz val="9"/>
            <color indexed="81"/>
            <rFont val="Tahoma"/>
            <family val="2"/>
          </rPr>
          <t xml:space="preserve">
se modiicica el objeto contractual de acuerdo al Memorando No. 262 del 15/02/2018</t>
        </r>
      </text>
    </comment>
    <comment ref="J69" authorId="0" shapeId="0">
      <text>
        <r>
          <rPr>
            <b/>
            <sz val="9"/>
            <color indexed="81"/>
            <rFont val="Tahoma"/>
            <family val="2"/>
          </rPr>
          <t>Martha Cecilia Quintero Barreiro:</t>
        </r>
        <r>
          <rPr>
            <sz val="9"/>
            <color indexed="81"/>
            <rFont val="Tahoma"/>
            <family val="2"/>
          </rPr>
          <t xml:space="preserve">
se modifica de acuerdo al Memorando No. 1027 del 27/08/2018</t>
        </r>
      </text>
    </comment>
    <comment ref="L69" authorId="0" shapeId="0">
      <text>
        <r>
          <rPr>
            <b/>
            <sz val="9"/>
            <color indexed="81"/>
            <rFont val="Tahoma"/>
            <family val="2"/>
          </rPr>
          <t>Martha Cecilia Quintero Barreiro:</t>
        </r>
        <r>
          <rPr>
            <sz val="9"/>
            <color indexed="81"/>
            <rFont val="Tahoma"/>
            <family val="2"/>
          </rPr>
          <t xml:space="preserve">
se modifica de acuerdo al Memorando No. 1027 del 27/08/2018</t>
        </r>
      </text>
    </comment>
    <comment ref="Q69" authorId="0" shapeId="0">
      <text>
        <r>
          <rPr>
            <b/>
            <sz val="9"/>
            <color indexed="81"/>
            <rFont val="Tahoma"/>
            <family val="2"/>
          </rPr>
          <t>Martha Cecilia Quintero Barreiro:</t>
        </r>
        <r>
          <rPr>
            <sz val="9"/>
            <color indexed="81"/>
            <rFont val="Tahoma"/>
            <family val="2"/>
          </rPr>
          <t xml:space="preserve">
se  ajusta el mes de acuerdo al Memorando No. 262 del 15/02/2018
se modifica de abril para agosto de acuerdo al Memorando No. 439 del 12/04/2018</t>
        </r>
      </text>
    </comment>
    <comment ref="R69" authorId="0" shapeId="0">
      <text>
        <r>
          <rPr>
            <b/>
            <sz val="9"/>
            <color indexed="81"/>
            <rFont val="Tahoma"/>
            <family val="2"/>
          </rPr>
          <t>Martha Cecilia Quintero Barreiro:</t>
        </r>
        <r>
          <rPr>
            <sz val="9"/>
            <color indexed="81"/>
            <rFont val="Tahoma"/>
            <family val="2"/>
          </rPr>
          <t xml:space="preserve">
se modifica de mayo para septiembre  de acuerdo al Memorando No. 439 del 12/04/2018</t>
        </r>
      </text>
    </comment>
    <comment ref="S69" authorId="0" shapeId="0">
      <text>
        <r>
          <rPr>
            <b/>
            <sz val="9"/>
            <color indexed="81"/>
            <rFont val="Tahoma"/>
            <family val="2"/>
          </rPr>
          <t>Martha Cecilia Quintero Barreiro:</t>
        </r>
        <r>
          <rPr>
            <sz val="9"/>
            <color indexed="81"/>
            <rFont val="Tahoma"/>
            <family val="2"/>
          </rPr>
          <t xml:space="preserve">
se modifica de 7 meses para tres</t>
        </r>
      </text>
    </comment>
    <comment ref="W69" authorId="0" shapeId="0">
      <text>
        <r>
          <rPr>
            <b/>
            <sz val="9"/>
            <color indexed="81"/>
            <rFont val="Tahoma"/>
            <family val="2"/>
          </rPr>
          <t>Martha Cecilia Quintero Barreiro:</t>
        </r>
        <r>
          <rPr>
            <sz val="9"/>
            <color indexed="81"/>
            <rFont val="Tahoma"/>
            <family val="2"/>
          </rPr>
          <t xml:space="preserve">
se reducen 20,183,402 de acuerdo al Memorando 840 de 31 /07/2018</t>
        </r>
      </text>
    </comment>
    <comment ref="W70" authorId="0" shapeId="0">
      <text>
        <r>
          <rPr>
            <b/>
            <sz val="9"/>
            <color indexed="81"/>
            <rFont val="Tahoma"/>
            <family val="2"/>
          </rPr>
          <t>Martha Cecilia Quintero Barreiro:</t>
        </r>
        <r>
          <rPr>
            <sz val="9"/>
            <color indexed="81"/>
            <rFont val="Tahoma"/>
            <family val="2"/>
          </rPr>
          <t xml:space="preserve">
se modifica de acuerdo al Memorando No. 1136 del 25/09/2018</t>
        </r>
      </text>
    </comment>
    <comment ref="I72" authorId="0" shapeId="0">
      <text>
        <r>
          <rPr>
            <b/>
            <sz val="9"/>
            <color indexed="81"/>
            <rFont val="Tahoma"/>
            <family val="2"/>
          </rPr>
          <t>Martha Cecilia Quintero Barreiro:</t>
        </r>
        <r>
          <rPr>
            <sz val="9"/>
            <color indexed="81"/>
            <rFont val="Tahoma"/>
            <family val="2"/>
          </rPr>
          <t xml:space="preserve">
se  ajusta el mes de acuerdo al Memorando No. 262 del 15/02/2018</t>
        </r>
      </text>
    </comment>
    <comment ref="Q72" authorId="0" shapeId="0">
      <text>
        <r>
          <rPr>
            <b/>
            <sz val="9"/>
            <color indexed="81"/>
            <rFont val="Tahoma"/>
            <family val="2"/>
          </rPr>
          <t>Martha Cecilia Quintero Barreiro:</t>
        </r>
        <r>
          <rPr>
            <sz val="9"/>
            <color indexed="81"/>
            <rFont val="Tahoma"/>
            <family val="2"/>
          </rPr>
          <t xml:space="preserve">
se  ajusta el mes de acuerdo al Memorando No. 262 del 15/02/2018
se modifica los meses de acuerdo al memorando No. 342 del 12/03/2018</t>
        </r>
      </text>
    </comment>
    <comment ref="W72" authorId="0" shapeId="0">
      <text>
        <r>
          <rPr>
            <b/>
            <sz val="9"/>
            <color indexed="81"/>
            <rFont val="Tahoma"/>
            <family val="2"/>
          </rPr>
          <t>Martha Cecilia Quintero Barreiro:</t>
        </r>
        <r>
          <rPr>
            <sz val="9"/>
            <color indexed="81"/>
            <rFont val="Tahoma"/>
            <family val="2"/>
          </rPr>
          <t xml:space="preserve">
Se modifica de auerdo al Memorando 840 del 31/07/2018</t>
        </r>
      </text>
    </comment>
    <comment ref="W74" authorId="0" shapeId="0">
      <text>
        <r>
          <rPr>
            <b/>
            <sz val="9"/>
            <color indexed="81"/>
            <rFont val="Tahoma"/>
            <family val="2"/>
          </rPr>
          <t>Martha Cecilia Quintero Barreiro:</t>
        </r>
        <r>
          <rPr>
            <sz val="9"/>
            <color indexed="81"/>
            <rFont val="Tahoma"/>
            <family val="2"/>
          </rPr>
          <t xml:space="preserve">
se reducen de acuerdo al Memorando No.1191 del 09/10/2018</t>
        </r>
      </text>
    </comment>
    <comment ref="I76" authorId="0" shapeId="0">
      <text>
        <r>
          <rPr>
            <b/>
            <sz val="9"/>
            <color indexed="81"/>
            <rFont val="Tahoma"/>
            <family val="2"/>
          </rPr>
          <t>Martha Cecilia Quintero Barreiro:</t>
        </r>
        <r>
          <rPr>
            <sz val="9"/>
            <color indexed="81"/>
            <rFont val="Tahoma"/>
            <family val="2"/>
          </rPr>
          <t xml:space="preserve">
se crea objeto contractual de cuerdo al Memorando No. 1136 del 25/09/2018</t>
        </r>
      </text>
    </comment>
    <comment ref="I77" authorId="0" shapeId="0">
      <text>
        <r>
          <rPr>
            <b/>
            <sz val="9"/>
            <color indexed="81"/>
            <rFont val="Tahoma"/>
            <family val="2"/>
          </rPr>
          <t>Martha Cecilia Quintero Barreiro:</t>
        </r>
        <r>
          <rPr>
            <sz val="9"/>
            <color indexed="81"/>
            <rFont val="Tahoma"/>
            <family val="2"/>
          </rPr>
          <t xml:space="preserve">
Se crea objeto contrctual de acuerdo al Memorando No. 1191 del 09/10/2018</t>
        </r>
      </text>
    </comment>
    <comment ref="I78" authorId="0" shapeId="0">
      <text>
        <r>
          <rPr>
            <b/>
            <sz val="9"/>
            <color indexed="81"/>
            <rFont val="Tahoma"/>
            <family val="2"/>
          </rPr>
          <t>Martha Cecilia Quintero Barreiro:</t>
        </r>
        <r>
          <rPr>
            <sz val="9"/>
            <color indexed="81"/>
            <rFont val="Tahoma"/>
            <family val="2"/>
          </rPr>
          <t xml:space="preserve">
Se crea objeto contrctual de acuerdo al Memorando No. 1191 del 09/10/2018</t>
        </r>
      </text>
    </comment>
    <comment ref="I79" authorId="0" shapeId="0">
      <text>
        <r>
          <rPr>
            <b/>
            <sz val="9"/>
            <color indexed="81"/>
            <rFont val="Tahoma"/>
            <family val="2"/>
          </rPr>
          <t>Martha Cecilia Quintero Barreiro:</t>
        </r>
        <r>
          <rPr>
            <sz val="9"/>
            <color indexed="81"/>
            <rFont val="Tahoma"/>
            <family val="2"/>
          </rPr>
          <t xml:space="preserve">
Se crea objeto contrctual de acuerdo al Memorando No. 1191 del 09/10/2018</t>
        </r>
      </text>
    </comment>
    <comment ref="I95" authorId="0" shapeId="0">
      <text>
        <r>
          <rPr>
            <b/>
            <sz val="9"/>
            <color indexed="81"/>
            <rFont val="Tahoma"/>
            <family val="2"/>
          </rPr>
          <t>Martha Cecilia Quintero Barreiro:</t>
        </r>
        <r>
          <rPr>
            <sz val="9"/>
            <color indexed="81"/>
            <rFont val="Tahoma"/>
            <family val="2"/>
          </rPr>
          <t xml:space="preserve">
Se modifica el  objeto contractual de acuerdo al Memorando NO.143 del 18/01/2018
Se modifica objeto contractual de acuerdo al Memorando NO. 183 del 23/01/2018</t>
        </r>
      </text>
    </comment>
    <comment ref="X96" authorId="0" shapeId="0">
      <text>
        <r>
          <rPr>
            <b/>
            <sz val="9"/>
            <color indexed="81"/>
            <rFont val="Tahoma"/>
            <family val="2"/>
          </rPr>
          <t>Martha Cecilia Quintero Barreiro:</t>
        </r>
        <r>
          <rPr>
            <sz val="9"/>
            <color indexed="81"/>
            <rFont val="Tahoma"/>
            <family val="2"/>
          </rPr>
          <t xml:space="preserve">
Se modifica de  acuerdo al Memorando No.. 840 de 31 de julio de 2018</t>
        </r>
      </text>
    </comment>
    <comment ref="X97" authorId="0" shapeId="0">
      <text>
        <r>
          <rPr>
            <b/>
            <sz val="9"/>
            <color indexed="81"/>
            <rFont val="Tahoma"/>
            <family val="2"/>
          </rPr>
          <t>Martha Cecilia Quintero Barreiro:</t>
        </r>
        <r>
          <rPr>
            <sz val="9"/>
            <color indexed="81"/>
            <rFont val="Tahoma"/>
            <family val="2"/>
          </rPr>
          <t xml:space="preserve">
Se modifica de  acuerdo al Memorando No.. 840 de 31 de julio de 2018</t>
        </r>
      </text>
    </comment>
    <comment ref="X101" authorId="0" shapeId="0">
      <text>
        <r>
          <rPr>
            <b/>
            <sz val="9"/>
            <color indexed="81"/>
            <rFont val="Tahoma"/>
            <family val="2"/>
          </rPr>
          <t>Martha Cecilia Quintero Barreiro:</t>
        </r>
        <r>
          <rPr>
            <sz val="9"/>
            <color indexed="81"/>
            <rFont val="Tahoma"/>
            <family val="2"/>
          </rPr>
          <t xml:space="preserve">
Al realizar el seguimiento a 30 de agosto de 2018 se reducen 16,000,000 de acuerdo a información dada por presupuesto </t>
        </r>
      </text>
    </comment>
    <comment ref="X103" authorId="0" shapeId="0">
      <text>
        <r>
          <rPr>
            <b/>
            <sz val="9"/>
            <color indexed="81"/>
            <rFont val="Tahoma"/>
            <family val="2"/>
          </rPr>
          <t>Martha Cecilia Quintero Barreiro:</t>
        </r>
        <r>
          <rPr>
            <sz val="9"/>
            <color indexed="81"/>
            <rFont val="Tahoma"/>
            <family val="2"/>
          </rPr>
          <t xml:space="preserve">
Se modifica de  acuerdo al Memorando No.. 840 de 31 de julio de 2018</t>
        </r>
      </text>
    </comment>
    <comment ref="S104" authorId="0" shapeId="0">
      <text>
        <r>
          <rPr>
            <b/>
            <sz val="9"/>
            <color indexed="81"/>
            <rFont val="Tahoma"/>
            <family val="2"/>
          </rPr>
          <t>Martha Cecilia Quintero Barreiro:</t>
        </r>
        <r>
          <rPr>
            <sz val="9"/>
            <color indexed="81"/>
            <rFont val="Tahoma"/>
            <family val="2"/>
          </rPr>
          <t xml:space="preserve">
Se modifica de acuerdo al memorando No. 962 del 15/08/2018</t>
        </r>
      </text>
    </comment>
    <comment ref="X104" authorId="0" shapeId="0">
      <text>
        <r>
          <rPr>
            <b/>
            <sz val="9"/>
            <color indexed="81"/>
            <rFont val="Tahoma"/>
            <family val="2"/>
          </rPr>
          <t>Martha Cecilia Quintero Barreiro:</t>
        </r>
        <r>
          <rPr>
            <sz val="9"/>
            <color indexed="81"/>
            <rFont val="Tahoma"/>
            <family val="2"/>
          </rPr>
          <t xml:space="preserve">
Se modifica de  acuerdo al Memorando No.. 840 de 31 de julio de 2018
Se adicionan 361,904,380
 de acuerdo al Memorando No. 861 del 02/08/2018
Se adicionan 21,012,643 de acuerdo al memorando No. 962 del 15/08/2018</t>
        </r>
      </text>
    </comment>
    <comment ref="I105" authorId="0" shapeId="0">
      <text>
        <r>
          <rPr>
            <b/>
            <sz val="9"/>
            <color indexed="81"/>
            <rFont val="Tahoma"/>
            <family val="2"/>
          </rPr>
          <t>Martha Cecilia Quintero Barreiro:</t>
        </r>
        <r>
          <rPr>
            <sz val="9"/>
            <color indexed="81"/>
            <rFont val="Tahoma"/>
            <family val="2"/>
          </rPr>
          <t xml:space="preserve">
Se modifica de  acuerdo al Memorando No.. 840 de 31 de julio de 2018</t>
        </r>
      </text>
    </comment>
    <comment ref="S105" authorId="0" shapeId="0">
      <text>
        <r>
          <rPr>
            <b/>
            <sz val="9"/>
            <color indexed="81"/>
            <rFont val="Tahoma"/>
            <family val="2"/>
          </rPr>
          <t>Martha Cecilia Quintero Barreiro:</t>
        </r>
        <r>
          <rPr>
            <sz val="9"/>
            <color indexed="81"/>
            <rFont val="Tahoma"/>
            <family val="2"/>
          </rPr>
          <t xml:space="preserve">
Se modifica de acuerdo al Memorando No. 962 del 15/08/2018</t>
        </r>
      </text>
    </comment>
    <comment ref="X105" authorId="0" shapeId="0">
      <text>
        <r>
          <rPr>
            <b/>
            <sz val="9"/>
            <color indexed="81"/>
            <rFont val="Tahoma"/>
            <family val="2"/>
          </rPr>
          <t>Martha Cecilia Quintero Barreiro:</t>
        </r>
        <r>
          <rPr>
            <sz val="9"/>
            <color indexed="81"/>
            <rFont val="Tahoma"/>
            <family val="2"/>
          </rPr>
          <t xml:space="preserve">
Se adiciona acuerdo al Memorando No.. 840 de 31 de julio de 2018
</t>
        </r>
      </text>
    </comment>
    <comment ref="X106" authorId="0" shapeId="0">
      <text>
        <r>
          <rPr>
            <b/>
            <sz val="9"/>
            <color indexed="81"/>
            <rFont val="Tahoma"/>
            <family val="2"/>
          </rPr>
          <t>Martha Cecilia Quintero Barreiro:</t>
        </r>
        <r>
          <rPr>
            <sz val="9"/>
            <color indexed="81"/>
            <rFont val="Tahoma"/>
            <family val="2"/>
          </rPr>
          <t xml:space="preserve">
Se adiciona acuerdo al Memorando No.. 840 de 31 de julio de 2018</t>
        </r>
      </text>
    </comment>
    <comment ref="X107" authorId="0" shapeId="0">
      <text>
        <r>
          <rPr>
            <b/>
            <sz val="9"/>
            <color indexed="81"/>
            <rFont val="Tahoma"/>
            <family val="2"/>
          </rPr>
          <t>Martha Cecilia Quintero Barreiro:</t>
        </r>
        <r>
          <rPr>
            <sz val="9"/>
            <color indexed="81"/>
            <rFont val="Tahoma"/>
            <family val="2"/>
          </rPr>
          <t xml:space="preserve">
Se adiciona acuerdo al Memorando No.. 840 de 31 de julio de 2018</t>
        </r>
      </text>
    </comment>
    <comment ref="K108" authorId="1" shapeId="0">
      <text>
        <r>
          <rPr>
            <b/>
            <sz val="8"/>
            <color indexed="81"/>
            <rFont val="Tahoma"/>
            <family val="2"/>
          </rPr>
          <t>nrozo:</t>
        </r>
        <r>
          <rPr>
            <sz val="8"/>
            <color indexed="81"/>
            <rFont val="Tahoma"/>
            <family val="2"/>
          </rPr>
          <t xml:space="preserve">
Ferley
</t>
        </r>
      </text>
    </comment>
    <comment ref="K109" authorId="1" shapeId="0">
      <text>
        <r>
          <rPr>
            <b/>
            <sz val="8"/>
            <color indexed="81"/>
            <rFont val="Tahoma"/>
            <family val="2"/>
          </rPr>
          <t>nrozo:</t>
        </r>
        <r>
          <rPr>
            <sz val="8"/>
            <color indexed="81"/>
            <rFont val="Tahoma"/>
            <family val="2"/>
          </rPr>
          <t xml:space="preserve">
Ferley
</t>
        </r>
      </text>
    </comment>
    <comment ref="K110" authorId="1" shapeId="0">
      <text>
        <r>
          <rPr>
            <b/>
            <sz val="8"/>
            <color indexed="81"/>
            <rFont val="Tahoma"/>
            <family val="2"/>
          </rPr>
          <t>nrozo:</t>
        </r>
        <r>
          <rPr>
            <sz val="8"/>
            <color indexed="81"/>
            <rFont val="Tahoma"/>
            <family val="2"/>
          </rPr>
          <t xml:space="preserve">
Ferley
</t>
        </r>
      </text>
    </comment>
    <comment ref="K111" authorId="1" shapeId="0">
      <text>
        <r>
          <rPr>
            <b/>
            <sz val="8"/>
            <color indexed="81"/>
            <rFont val="Tahoma"/>
            <family val="2"/>
          </rPr>
          <t>nrozo:</t>
        </r>
        <r>
          <rPr>
            <sz val="8"/>
            <color indexed="81"/>
            <rFont val="Tahoma"/>
            <family val="2"/>
          </rPr>
          <t xml:space="preserve">
Ferley
</t>
        </r>
      </text>
    </comment>
    <comment ref="K112" authorId="1" shapeId="0">
      <text>
        <r>
          <rPr>
            <b/>
            <sz val="8"/>
            <color indexed="81"/>
            <rFont val="Tahoma"/>
            <family val="2"/>
          </rPr>
          <t>nrozo:</t>
        </r>
        <r>
          <rPr>
            <sz val="8"/>
            <color indexed="81"/>
            <rFont val="Tahoma"/>
            <family val="2"/>
          </rPr>
          <t xml:space="preserve">
Ferley
</t>
        </r>
      </text>
    </comment>
    <comment ref="K113" authorId="1" shapeId="0">
      <text>
        <r>
          <rPr>
            <b/>
            <sz val="8"/>
            <color indexed="81"/>
            <rFont val="Tahoma"/>
            <family val="2"/>
          </rPr>
          <t>nrozo:</t>
        </r>
        <r>
          <rPr>
            <sz val="8"/>
            <color indexed="81"/>
            <rFont val="Tahoma"/>
            <family val="2"/>
          </rPr>
          <t xml:space="preserve">
Alexandra
</t>
        </r>
      </text>
    </comment>
    <comment ref="S113" authorId="0" shapeId="0">
      <text>
        <r>
          <rPr>
            <b/>
            <sz val="9"/>
            <color indexed="81"/>
            <rFont val="Tahoma"/>
            <family val="2"/>
          </rPr>
          <t>Martha Cecilia Quintero Barreiro:</t>
        </r>
        <r>
          <rPr>
            <sz val="9"/>
            <color indexed="81"/>
            <rFont val="Tahoma"/>
            <family val="2"/>
          </rPr>
          <t xml:space="preserve">
Se modifica de acuerdo al memorando No. 962 del 15/08/2018</t>
        </r>
      </text>
    </comment>
    <comment ref="X113" authorId="0" shapeId="0">
      <text>
        <r>
          <rPr>
            <b/>
            <sz val="9"/>
            <color indexed="81"/>
            <rFont val="Tahoma"/>
            <family val="2"/>
          </rPr>
          <t>Martha Cecilia Quintero Barreiro:</t>
        </r>
        <r>
          <rPr>
            <sz val="9"/>
            <color indexed="81"/>
            <rFont val="Tahoma"/>
            <family val="2"/>
          </rPr>
          <t xml:space="preserve">
Se restan 21,012,643 de acuerdo al memorando No. 962 del 15/08/2018</t>
        </r>
      </text>
    </comment>
    <comment ref="I127" authorId="0" shapeId="0">
      <text>
        <r>
          <rPr>
            <b/>
            <sz val="9"/>
            <color indexed="81"/>
            <rFont val="Tahoma"/>
            <family val="2"/>
          </rPr>
          <t>Martha Cecilia Quintero Barreiro:</t>
        </r>
        <r>
          <rPr>
            <sz val="9"/>
            <color indexed="81"/>
            <rFont val="Tahoma"/>
            <family val="2"/>
          </rPr>
          <t xml:space="preserve">
se modifica de  acuerdo al Memorando No.. 840 de 31 de julio de 2018</t>
        </r>
      </text>
    </comment>
    <comment ref="W127" authorId="0" shapeId="0">
      <text>
        <r>
          <rPr>
            <b/>
            <sz val="9"/>
            <color indexed="81"/>
            <rFont val="Tahoma"/>
            <family val="2"/>
          </rPr>
          <t>Martha Cecilia Quintero Barreiro:</t>
        </r>
        <r>
          <rPr>
            <sz val="9"/>
            <color indexed="81"/>
            <rFont val="Tahoma"/>
            <family val="2"/>
          </rPr>
          <t xml:space="preserve">
se modifico de acuerdo al Memorando No. 840 del 31 de julio de 2018</t>
        </r>
      </text>
    </comment>
    <comment ref="W128" authorId="0" shapeId="0">
      <text>
        <r>
          <rPr>
            <b/>
            <sz val="9"/>
            <color indexed="81"/>
            <rFont val="Tahoma"/>
            <family val="2"/>
          </rPr>
          <t>Martha Cecilia Quintero Barreiro:</t>
        </r>
        <r>
          <rPr>
            <sz val="9"/>
            <color indexed="81"/>
            <rFont val="Tahoma"/>
            <family val="2"/>
          </rPr>
          <t xml:space="preserve">
se modifico de acuerdo al Memorando No. 840 del 31 de julio de 2018</t>
        </r>
      </text>
    </comment>
    <comment ref="W129" authorId="0" shapeId="0">
      <text>
        <r>
          <rPr>
            <b/>
            <sz val="9"/>
            <color indexed="81"/>
            <rFont val="Tahoma"/>
            <family val="2"/>
          </rPr>
          <t>Martha Cecilia Quintero Barreiro:</t>
        </r>
        <r>
          <rPr>
            <sz val="9"/>
            <color indexed="81"/>
            <rFont val="Tahoma"/>
            <family val="2"/>
          </rPr>
          <t xml:space="preserve">
se modifico de acuerdo al Memorando No. 840 del 31 de julio de 2018</t>
        </r>
      </text>
    </comment>
    <comment ref="X129" authorId="0" shapeId="0">
      <text>
        <r>
          <rPr>
            <b/>
            <sz val="9"/>
            <color indexed="81"/>
            <rFont val="Tahoma"/>
            <family val="2"/>
          </rPr>
          <t>Martha Cecilia Quintero Barreiro:</t>
        </r>
        <r>
          <rPr>
            <sz val="9"/>
            <color indexed="81"/>
            <rFont val="Tahoma"/>
            <family val="2"/>
          </rPr>
          <t xml:space="preserve">
Se modifica de  acuerdo al Memorando No.. 840 de 31 de julio de 2018</t>
        </r>
      </text>
    </comment>
    <comment ref="I143" authorId="0" shapeId="0">
      <text>
        <r>
          <rPr>
            <b/>
            <sz val="9"/>
            <color indexed="81"/>
            <rFont val="Tahoma"/>
            <family val="2"/>
          </rPr>
          <t>Martha Cecilia Quintero Barreiro:</t>
        </r>
        <r>
          <rPr>
            <sz val="9"/>
            <color indexed="81"/>
            <rFont val="Tahoma"/>
            <family val="2"/>
          </rPr>
          <t xml:space="preserve">
se modiicica el objeto contractual de acuerdo al Memorando No. 262 del 15/02/2018</t>
        </r>
      </text>
    </comment>
    <comment ref="J143" authorId="0" shapeId="0">
      <text>
        <r>
          <rPr>
            <b/>
            <sz val="9"/>
            <color indexed="81"/>
            <rFont val="Tahoma"/>
            <family val="2"/>
          </rPr>
          <t>Martha Cecilia Quintero Barreiro:</t>
        </r>
        <r>
          <rPr>
            <sz val="9"/>
            <color indexed="81"/>
            <rFont val="Tahoma"/>
            <family val="2"/>
          </rPr>
          <t xml:space="preserve">
se modifica de acuerdo al Memorando No. 1027 del 27/08/2018</t>
        </r>
      </text>
    </comment>
    <comment ref="L143" authorId="0" shapeId="0">
      <text>
        <r>
          <rPr>
            <b/>
            <sz val="9"/>
            <color indexed="81"/>
            <rFont val="Tahoma"/>
            <family val="2"/>
          </rPr>
          <t>Martha Cecilia Quintero Barreiro:</t>
        </r>
        <r>
          <rPr>
            <sz val="9"/>
            <color indexed="81"/>
            <rFont val="Tahoma"/>
            <family val="2"/>
          </rPr>
          <t xml:space="preserve">
se modifica de acuerdo al Memorando No. 1027 del 27/08/2018</t>
        </r>
      </text>
    </comment>
    <comment ref="Q143" authorId="0" shapeId="0">
      <text>
        <r>
          <rPr>
            <b/>
            <sz val="9"/>
            <color indexed="81"/>
            <rFont val="Tahoma"/>
            <family val="2"/>
          </rPr>
          <t>Martha Cecilia Quintero Barreiro:</t>
        </r>
        <r>
          <rPr>
            <sz val="9"/>
            <color indexed="81"/>
            <rFont val="Tahoma"/>
            <family val="2"/>
          </rPr>
          <t xml:space="preserve">
se  ajusta el mes de acuerdo al Memorando No. 262 del 15/02/2018
se modifica de abril para agosto de acuerdo al Memorando No. 439 del 12/04/2018</t>
        </r>
      </text>
    </comment>
    <comment ref="R143" authorId="0" shapeId="0">
      <text>
        <r>
          <rPr>
            <b/>
            <sz val="9"/>
            <color indexed="81"/>
            <rFont val="Tahoma"/>
            <family val="2"/>
          </rPr>
          <t>Martha Cecilia Quintero Barreiro:</t>
        </r>
        <r>
          <rPr>
            <sz val="9"/>
            <color indexed="81"/>
            <rFont val="Tahoma"/>
            <family val="2"/>
          </rPr>
          <t xml:space="preserve">
se modifica de mayo para septiembre  de acuerdo al Memorando No. 439 del 12/04/2018</t>
        </r>
      </text>
    </comment>
    <comment ref="S143" authorId="0" shapeId="0">
      <text>
        <r>
          <rPr>
            <b/>
            <sz val="9"/>
            <color indexed="81"/>
            <rFont val="Tahoma"/>
            <family val="2"/>
          </rPr>
          <t>Martha Cecilia Quintero Barreiro:</t>
        </r>
        <r>
          <rPr>
            <sz val="9"/>
            <color indexed="81"/>
            <rFont val="Tahoma"/>
            <family val="2"/>
          </rPr>
          <t xml:space="preserve">
se modifica de 7 meses para tres</t>
        </r>
      </text>
    </comment>
    <comment ref="W143" authorId="0" shapeId="0">
      <text>
        <r>
          <rPr>
            <b/>
            <sz val="9"/>
            <color indexed="81"/>
            <rFont val="Tahoma"/>
            <family val="2"/>
          </rPr>
          <t>Martha Cecilia Quintero Barreiro:</t>
        </r>
        <r>
          <rPr>
            <sz val="9"/>
            <color indexed="81"/>
            <rFont val="Tahoma"/>
            <family val="2"/>
          </rPr>
          <t xml:space="preserve">
se reducen 20,183,402 de acuerdo al Memorando 840 de 31 /07/2018</t>
        </r>
      </text>
    </comment>
    <comment ref="W144" authorId="0" shapeId="0">
      <text>
        <r>
          <rPr>
            <b/>
            <sz val="9"/>
            <color indexed="81"/>
            <rFont val="Tahoma"/>
            <family val="2"/>
          </rPr>
          <t>Martha Cecilia Quintero Barreiro:</t>
        </r>
        <r>
          <rPr>
            <sz val="9"/>
            <color indexed="81"/>
            <rFont val="Tahoma"/>
            <family val="2"/>
          </rPr>
          <t xml:space="preserve">
se modifica de acuerdo al Memorando No. 1136 del 25/09/2018</t>
        </r>
      </text>
    </comment>
    <comment ref="Q146" authorId="0" shapeId="0">
      <text>
        <r>
          <rPr>
            <b/>
            <sz val="9"/>
            <color indexed="81"/>
            <rFont val="Tahoma"/>
            <family val="2"/>
          </rPr>
          <t>Martha Cecilia Quintero Barreiro:</t>
        </r>
        <r>
          <rPr>
            <sz val="9"/>
            <color indexed="81"/>
            <rFont val="Tahoma"/>
            <family val="2"/>
          </rPr>
          <t xml:space="preserve">
se  ajusta el mes de acuerdo al Memorando No. 262 del 15/02/2018
se modifica los meses de acuerdo al memorando No. 342 del 12/03/2018</t>
        </r>
      </text>
    </comment>
    <comment ref="W146" authorId="0" shapeId="0">
      <text>
        <r>
          <rPr>
            <b/>
            <sz val="9"/>
            <color indexed="81"/>
            <rFont val="Tahoma"/>
            <family val="2"/>
          </rPr>
          <t>Martha Cecilia Quintero Barreiro:</t>
        </r>
        <r>
          <rPr>
            <sz val="9"/>
            <color indexed="81"/>
            <rFont val="Tahoma"/>
            <family val="2"/>
          </rPr>
          <t xml:space="preserve">
Se modifica de auerdo al Memorando 840 del 31/07/2018</t>
        </r>
      </text>
    </comment>
    <comment ref="I147" authorId="0" shapeId="0">
      <text>
        <r>
          <rPr>
            <b/>
            <sz val="9"/>
            <color indexed="81"/>
            <rFont val="Tahoma"/>
            <family val="2"/>
          </rPr>
          <t>Martha Cecilia Quintero Barreiro:</t>
        </r>
        <r>
          <rPr>
            <sz val="9"/>
            <color indexed="81"/>
            <rFont val="Tahoma"/>
            <family val="2"/>
          </rPr>
          <t xml:space="preserve">
Se modifica el  objeto contractual de acuerdo al Memorando NO.143 del 18/01/2018</t>
        </r>
      </text>
    </comment>
    <comment ref="W147" authorId="0" shapeId="0">
      <text>
        <r>
          <rPr>
            <b/>
            <sz val="9"/>
            <color indexed="81"/>
            <rFont val="Tahoma"/>
            <family val="2"/>
          </rPr>
          <t>Martha Cecilia Quintero Barreiro:</t>
        </r>
        <r>
          <rPr>
            <sz val="9"/>
            <color indexed="81"/>
            <rFont val="Tahoma"/>
            <family val="2"/>
          </rPr>
          <t xml:space="preserve">
Se modifica de auerdo al Memorando 840 del 31/07/2018</t>
        </r>
      </text>
    </comment>
    <comment ref="W151" authorId="0" shapeId="0">
      <text>
        <r>
          <rPr>
            <b/>
            <sz val="9"/>
            <color indexed="81"/>
            <rFont val="Tahoma"/>
            <family val="2"/>
          </rPr>
          <t>Martha Cecilia Quintero Barreiro:</t>
        </r>
        <r>
          <rPr>
            <sz val="9"/>
            <color indexed="81"/>
            <rFont val="Tahoma"/>
            <family val="2"/>
          </rPr>
          <t xml:space="preserve">
se reducen de acuerdo al Memorando No.1191 del 09/10/2018</t>
        </r>
      </text>
    </comment>
    <comment ref="I155" authorId="0" shapeId="0">
      <text>
        <r>
          <rPr>
            <b/>
            <sz val="9"/>
            <color indexed="81"/>
            <rFont val="Tahoma"/>
            <family val="2"/>
          </rPr>
          <t>Martha Cecilia Quintero Barreiro:</t>
        </r>
        <r>
          <rPr>
            <sz val="9"/>
            <color indexed="81"/>
            <rFont val="Tahoma"/>
            <family val="2"/>
          </rPr>
          <t xml:space="preserve">
se crea objeto contractual de cuerdo al Memorando No. 1136 del 25/09/2018</t>
        </r>
      </text>
    </comment>
    <comment ref="I157" authorId="0" shapeId="0">
      <text>
        <r>
          <rPr>
            <b/>
            <sz val="9"/>
            <color indexed="81"/>
            <rFont val="Tahoma"/>
            <family val="2"/>
          </rPr>
          <t>Martha Cecilia Quintero Barreiro:</t>
        </r>
        <r>
          <rPr>
            <sz val="9"/>
            <color indexed="81"/>
            <rFont val="Tahoma"/>
            <family val="2"/>
          </rPr>
          <t xml:space="preserve">
se crea nuevo objeto contractual de acuerdo al Memorando no.1191 del 09/10/2018</t>
        </r>
      </text>
    </comment>
    <comment ref="I158" authorId="0" shapeId="0">
      <text>
        <r>
          <rPr>
            <b/>
            <sz val="9"/>
            <color indexed="81"/>
            <rFont val="Tahoma"/>
            <family val="2"/>
          </rPr>
          <t>Martha Cecilia Quintero Barreiro:</t>
        </r>
        <r>
          <rPr>
            <sz val="9"/>
            <color indexed="81"/>
            <rFont val="Tahoma"/>
            <family val="2"/>
          </rPr>
          <t xml:space="preserve">
se crea nuevo objeto contractual de acuerdo al Memorando no.1191 del 09/10/2018</t>
        </r>
      </text>
    </comment>
    <comment ref="I159" authorId="0" shapeId="0">
      <text>
        <r>
          <rPr>
            <b/>
            <sz val="9"/>
            <color indexed="81"/>
            <rFont val="Tahoma"/>
            <family val="2"/>
          </rPr>
          <t>Martha Cecilia Quintero Barreiro:</t>
        </r>
        <r>
          <rPr>
            <sz val="9"/>
            <color indexed="81"/>
            <rFont val="Tahoma"/>
            <family val="2"/>
          </rPr>
          <t xml:space="preserve">
se crea nuevo objeto contractual de acuerdo al Memorando no.1191 del 09/10/2018</t>
        </r>
      </text>
    </comment>
    <comment ref="I160" authorId="2" shapeId="0">
      <text>
        <r>
          <rPr>
            <sz val="9"/>
            <color indexed="81"/>
            <rFont val="Tahoma"/>
            <family val="2"/>
          </rPr>
          <t xml:space="preserve">se crea nuevo objeto contractual de acuerdo al Memorando no.1191 del 09/10/2018
</t>
        </r>
      </text>
    </comment>
    <comment ref="W180" authorId="0" shapeId="0">
      <text>
        <r>
          <rPr>
            <b/>
            <sz val="9"/>
            <color indexed="81"/>
            <rFont val="Tahoma"/>
            <family val="2"/>
          </rPr>
          <t>Martha Cecilia Quintero Barreiro:</t>
        </r>
        <r>
          <rPr>
            <sz val="9"/>
            <color indexed="81"/>
            <rFont val="Tahoma"/>
            <family val="2"/>
          </rPr>
          <t xml:space="preserve">
se  reduce de acuerdo al memorando No. 342 del 12/03/2018</t>
        </r>
      </text>
    </comment>
    <comment ref="Y180" authorId="0" shapeId="0">
      <text>
        <r>
          <rPr>
            <b/>
            <sz val="9"/>
            <color indexed="81"/>
            <rFont val="Tahoma"/>
            <family val="2"/>
          </rPr>
          <t>Martha Cecilia Quintero Barreiro:</t>
        </r>
        <r>
          <rPr>
            <sz val="9"/>
            <color indexed="81"/>
            <rFont val="Tahoma"/>
            <family val="2"/>
          </rPr>
          <t xml:space="preserve">
Se reduce de acuerdo al Memorando No. 262 del 15/02/2018</t>
        </r>
      </text>
    </comment>
    <comment ref="I181" authorId="0" shapeId="0">
      <text>
        <r>
          <rPr>
            <b/>
            <sz val="9"/>
            <color indexed="81"/>
            <rFont val="Tahoma"/>
            <family val="2"/>
          </rPr>
          <t>Martha Cecilia Quintero Barreiro:</t>
        </r>
        <r>
          <rPr>
            <sz val="9"/>
            <color indexed="81"/>
            <rFont val="Tahoma"/>
            <family val="2"/>
          </rPr>
          <t xml:space="preserve">
Se crea nuevo objeto de acuerdo al Memorando No. 342 del 12/03/2018
SE MODIFICA EL OBJETO DE ACUERDO AL MEMORANDO No. 619 del 25/05/2018</t>
        </r>
      </text>
    </comment>
    <comment ref="Y182" authorId="0" shapeId="0">
      <text>
        <r>
          <rPr>
            <b/>
            <sz val="9"/>
            <color indexed="81"/>
            <rFont val="Tahoma"/>
            <family val="2"/>
          </rPr>
          <t>Martha Cecilia Quintero Barreiro:</t>
        </r>
        <r>
          <rPr>
            <sz val="9"/>
            <color indexed="81"/>
            <rFont val="Tahoma"/>
            <family val="2"/>
          </rPr>
          <t xml:space="preserve">
Se restan  21,890,053 de acuerdo al Memorando 804 de 23 de julio de 2018</t>
        </r>
      </text>
    </comment>
    <comment ref="W183" authorId="0" shapeId="0">
      <text>
        <r>
          <rPr>
            <b/>
            <sz val="9"/>
            <color indexed="81"/>
            <rFont val="Tahoma"/>
            <family val="2"/>
          </rPr>
          <t>Martha Cecilia Quintero Barreiro:</t>
        </r>
        <r>
          <rPr>
            <sz val="9"/>
            <color indexed="81"/>
            <rFont val="Tahoma"/>
            <family val="2"/>
          </rPr>
          <t xml:space="preserve">
Se adicionan 6,038,361   de acuerdo al Memorando 804 de 23 de julio de 2018</t>
        </r>
      </text>
    </comment>
    <comment ref="Y183" authorId="0" shapeId="0">
      <text>
        <r>
          <rPr>
            <b/>
            <sz val="9"/>
            <color indexed="81"/>
            <rFont val="Tahoma"/>
            <family val="2"/>
          </rPr>
          <t>Martha Cecilia Quintero Barreiro:</t>
        </r>
        <r>
          <rPr>
            <sz val="9"/>
            <color indexed="81"/>
            <rFont val="Tahoma"/>
            <family val="2"/>
          </rPr>
          <t xml:space="preserve">
Se adicionan 21,890,053  de acuerdo al Memorando 804 de 23 de julio de 2018</t>
        </r>
      </text>
    </comment>
    <comment ref="Q185" authorId="0" shapeId="0">
      <text>
        <r>
          <rPr>
            <b/>
            <sz val="9"/>
            <color indexed="81"/>
            <rFont val="Tahoma"/>
            <family val="2"/>
          </rPr>
          <t>Martha Cecilia Quintero Barreiro:</t>
        </r>
        <r>
          <rPr>
            <sz val="9"/>
            <color indexed="81"/>
            <rFont val="Tahoma"/>
            <family val="2"/>
          </rPr>
          <t xml:space="preserve">
se modifica los meses de acuerdo al memorando No. 342 del 12/03/2018</t>
        </r>
      </text>
    </comment>
    <comment ref="W185" authorId="0" shapeId="0">
      <text>
        <r>
          <rPr>
            <b/>
            <sz val="9"/>
            <color indexed="81"/>
            <rFont val="Tahoma"/>
            <family val="2"/>
          </rPr>
          <t>Martha Cecilia Quintero Barreiro:</t>
        </r>
        <r>
          <rPr>
            <sz val="9"/>
            <color indexed="81"/>
            <rFont val="Tahoma"/>
            <family val="2"/>
          </rPr>
          <t xml:space="preserve">
Se restan 10,935,776  de acuerdo al Memorando 804 de 23 de julio de 2018</t>
        </r>
      </text>
    </comment>
    <comment ref="Z185" authorId="0" shapeId="0">
      <text>
        <r>
          <rPr>
            <b/>
            <sz val="9"/>
            <color indexed="81"/>
            <rFont val="Tahoma"/>
            <family val="2"/>
          </rPr>
          <t>Martha Cecilia Quintero Barreiro:</t>
        </r>
        <r>
          <rPr>
            <sz val="9"/>
            <color indexed="81"/>
            <rFont val="Tahoma"/>
            <family val="2"/>
          </rPr>
          <t xml:space="preserve">
se  reduce de acuerdo al memorando No. 342 del 12/03/2018</t>
        </r>
      </text>
    </comment>
    <comment ref="W189" authorId="0" shapeId="0">
      <text>
        <r>
          <rPr>
            <b/>
            <sz val="9"/>
            <color indexed="81"/>
            <rFont val="Tahoma"/>
            <family val="2"/>
          </rPr>
          <t>Martha Cecilia Quintero Barreiro:</t>
        </r>
        <r>
          <rPr>
            <sz val="9"/>
            <color indexed="81"/>
            <rFont val="Tahoma"/>
            <family val="2"/>
          </rPr>
          <t xml:space="preserve">
Se restan 4,390,585  de acuerdo al Memorando 804 de 23 de julio de 2018</t>
        </r>
      </text>
    </comment>
    <comment ref="Q193" authorId="0" shapeId="0">
      <text>
        <r>
          <rPr>
            <b/>
            <sz val="9"/>
            <color indexed="81"/>
            <rFont val="Tahoma"/>
            <family val="2"/>
          </rPr>
          <t>Martha Cecilia Quintero Barreiro:</t>
        </r>
        <r>
          <rPr>
            <sz val="9"/>
            <color indexed="81"/>
            <rFont val="Tahoma"/>
            <family val="2"/>
          </rPr>
          <t xml:space="preserve">
Se modifica de acuerdo al memorando No. 817 de 04/07/2018</t>
        </r>
      </text>
    </comment>
    <comment ref="Q195" authorId="0" shapeId="0">
      <text>
        <r>
          <rPr>
            <b/>
            <sz val="9"/>
            <color indexed="81"/>
            <rFont val="Tahoma"/>
            <family val="2"/>
          </rPr>
          <t>Martha Cecilia Quintero Barreiro:</t>
        </r>
        <r>
          <rPr>
            <sz val="9"/>
            <color indexed="81"/>
            <rFont val="Tahoma"/>
            <family val="2"/>
          </rPr>
          <t xml:space="preserve">
se modifica la fecha de acuerdo al Memorando No. 262 del 15/02/2018
se modifica de marzo para abril de acuerdo al Memorando No. 439 del 12/04/2018</t>
        </r>
      </text>
    </comment>
    <comment ref="S195" authorId="0" shapeId="0">
      <text>
        <r>
          <rPr>
            <b/>
            <sz val="9"/>
            <color indexed="81"/>
            <rFont val="Tahoma"/>
            <family val="2"/>
          </rPr>
          <t>Martha Cecilia Quintero Barreiro:</t>
        </r>
        <r>
          <rPr>
            <sz val="9"/>
            <color indexed="81"/>
            <rFont val="Tahoma"/>
            <family val="2"/>
          </rPr>
          <t xml:space="preserve">
se modifica de 360  dias a 3 meses de acuerdo al Memorando No. 439 del 12/04/2018</t>
        </r>
      </text>
    </comment>
    <comment ref="I196" authorId="0" shapeId="0">
      <text>
        <r>
          <rPr>
            <b/>
            <sz val="9"/>
            <color indexed="81"/>
            <rFont val="Tahoma"/>
            <family val="2"/>
          </rPr>
          <t>Martha Cecilia Quintero Barreiro:</t>
        </r>
        <r>
          <rPr>
            <sz val="9"/>
            <color indexed="81"/>
            <rFont val="Tahoma"/>
            <family val="2"/>
          </rPr>
          <t xml:space="preserve">
Se adicionan de acuerdo al Memorando 804 de 23 de julio de 2018</t>
        </r>
      </text>
    </comment>
    <comment ref="W196" authorId="0" shapeId="0">
      <text>
        <r>
          <rPr>
            <b/>
            <sz val="9"/>
            <color indexed="81"/>
            <rFont val="Tahoma"/>
            <family val="2"/>
          </rPr>
          <t>Martha Cecilia Quintero Barreiro:</t>
        </r>
        <r>
          <rPr>
            <sz val="9"/>
            <color indexed="81"/>
            <rFont val="Tahoma"/>
            <family val="2"/>
          </rPr>
          <t xml:space="preserve">
Se adicionan de acuerdo al Memorando 804 de 23 de julio de 2018
Se reducen de acuerdo al Memorando No. 1136 del 25/09/2018</t>
        </r>
      </text>
    </comment>
    <comment ref="W197" authorId="0" shapeId="0">
      <text>
        <r>
          <rPr>
            <b/>
            <sz val="9"/>
            <color indexed="81"/>
            <rFont val="Tahoma"/>
            <family val="2"/>
          </rPr>
          <t>Martha Cecilia Quintero Barreiro:</t>
        </r>
        <r>
          <rPr>
            <sz val="9"/>
            <color indexed="81"/>
            <rFont val="Tahoma"/>
            <family val="2"/>
          </rPr>
          <t xml:space="preserve">
Se modifica de acuerdo al Memorando No. 1136 del 25/09/2018
Se modifica de acuerdo al Memorando No.1229 del 19 de octubre de 2018</t>
        </r>
      </text>
    </comment>
    <comment ref="I198" authorId="0" shapeId="0">
      <text>
        <r>
          <rPr>
            <b/>
            <sz val="9"/>
            <color indexed="81"/>
            <rFont val="Tahoma"/>
            <family val="2"/>
          </rPr>
          <t>Martha Cecilia Quintero Barreiro:</t>
        </r>
        <r>
          <rPr>
            <sz val="9"/>
            <color indexed="81"/>
            <rFont val="Tahoma"/>
            <family val="2"/>
          </rPr>
          <t xml:space="preserve">
</t>
        </r>
      </text>
    </comment>
    <comment ref="W198" authorId="0" shapeId="0">
      <text>
        <r>
          <rPr>
            <b/>
            <sz val="9"/>
            <color indexed="81"/>
            <rFont val="Tahoma"/>
            <family val="2"/>
          </rPr>
          <t>Martha Cecilia Quintero Barreiro:</t>
        </r>
        <r>
          <rPr>
            <sz val="9"/>
            <color indexed="81"/>
            <rFont val="Tahoma"/>
            <family val="2"/>
          </rPr>
          <t xml:space="preserve">
Se modifica de acuerdo al Memorando No.1229 del 19 de octubre de 2018</t>
        </r>
      </text>
    </comment>
    <comment ref="W199" authorId="0" shapeId="0">
      <text>
        <r>
          <rPr>
            <b/>
            <sz val="9"/>
            <color indexed="81"/>
            <rFont val="Tahoma"/>
            <family val="2"/>
          </rPr>
          <t>Martha Cecilia Quintero Barreiro:</t>
        </r>
        <r>
          <rPr>
            <sz val="9"/>
            <color indexed="81"/>
            <rFont val="Tahoma"/>
            <family val="2"/>
          </rPr>
          <t xml:space="preserve">
Se restan de acuerdo al Memorando 804 de 23 de julio de 2018</t>
        </r>
      </text>
    </comment>
    <comment ref="I200" authorId="0" shapeId="0">
      <text>
        <r>
          <rPr>
            <b/>
            <sz val="9"/>
            <color indexed="81"/>
            <rFont val="Tahoma"/>
            <family val="2"/>
          </rPr>
          <t>Martha Cecilia Quintero Barreiro:</t>
        </r>
        <r>
          <rPr>
            <sz val="9"/>
            <color indexed="81"/>
            <rFont val="Tahoma"/>
            <family val="2"/>
          </rPr>
          <t xml:space="preserve">
Se cea nuevo objeto contractual  de acuerdo al Memorando No.1229 del 19 de octubre de 2018</t>
        </r>
      </text>
    </comment>
  </commentList>
</comments>
</file>

<file path=xl/comments2.xml><?xml version="1.0" encoding="utf-8"?>
<comments xmlns="http://schemas.openxmlformats.org/spreadsheetml/2006/main">
  <authors>
    <author>Martha Cecilia Quintero Barreiro</author>
  </authors>
  <commentList>
    <comment ref="Q12" authorId="0" shapeId="0">
      <text>
        <r>
          <rPr>
            <b/>
            <sz val="9"/>
            <color indexed="81"/>
            <rFont val="Tahoma"/>
            <family val="2"/>
          </rPr>
          <t>Martha Cecilia Quintero Barreiro:</t>
        </r>
        <r>
          <rPr>
            <sz val="9"/>
            <color indexed="81"/>
            <rFont val="Tahoma"/>
            <family val="2"/>
          </rPr>
          <t xml:space="preserve">
se reducen 
de acuerdo al memorando 1323 del 13 de Noviembre de 2018</t>
        </r>
      </text>
    </comment>
    <comment ref="Q13" authorId="0" shapeId="0">
      <text>
        <r>
          <rPr>
            <b/>
            <sz val="9"/>
            <color indexed="81"/>
            <rFont val="Tahoma"/>
            <family val="2"/>
          </rPr>
          <t>Martha Cecilia Quintero Barreiro:</t>
        </r>
        <r>
          <rPr>
            <sz val="9"/>
            <color indexed="81"/>
            <rFont val="Tahoma"/>
            <family val="2"/>
          </rPr>
          <t xml:space="preserve">
Se modifica de acuerdo al Memorando No. 1454 del 06/12/2018</t>
        </r>
      </text>
    </comment>
    <comment ref="Q16" authorId="0" shapeId="0">
      <text>
        <r>
          <rPr>
            <b/>
            <sz val="9"/>
            <color indexed="81"/>
            <rFont val="Tahoma"/>
            <family val="2"/>
          </rPr>
          <t>Martha Cecilia Quintero Barreiro:</t>
        </r>
        <r>
          <rPr>
            <sz val="9"/>
            <color indexed="81"/>
            <rFont val="Tahoma"/>
            <family val="2"/>
          </rPr>
          <t xml:space="preserve">
Se modifica de  acuerdo al Memorando No.. 840 de 31 de julio de 2018</t>
        </r>
      </text>
    </comment>
    <comment ref="Q17" authorId="0" shapeId="0">
      <text>
        <r>
          <rPr>
            <b/>
            <sz val="9"/>
            <color indexed="81"/>
            <rFont val="Tahoma"/>
            <family val="2"/>
          </rPr>
          <t>Martha Cecilia Quintero Barreiro:</t>
        </r>
        <r>
          <rPr>
            <sz val="9"/>
            <color indexed="81"/>
            <rFont val="Tahoma"/>
            <family val="2"/>
          </rPr>
          <t xml:space="preserve">
se reducen 114,711 de acuerdo a memorando No. 25 del 09/01/2017</t>
        </r>
      </text>
    </comment>
    <comment ref="U17" authorId="0" shapeId="0">
      <text>
        <r>
          <rPr>
            <b/>
            <sz val="9"/>
            <color indexed="81"/>
            <rFont val="Tahoma"/>
            <family val="2"/>
          </rPr>
          <t>Martha Cecilia Quintero Barreiro:</t>
        </r>
        <r>
          <rPr>
            <sz val="9"/>
            <color indexed="81"/>
            <rFont val="Tahoma"/>
            <family val="2"/>
          </rPr>
          <t xml:space="preserve">
se reducen 114,711 de acuerdo a memorando No. 25 del 09/01/2017</t>
        </r>
      </text>
    </comment>
    <comment ref="Q18" authorId="0" shapeId="0">
      <text>
        <r>
          <rPr>
            <b/>
            <sz val="9"/>
            <color indexed="81"/>
            <rFont val="Tahoma"/>
            <family val="2"/>
          </rPr>
          <t>Martha Cecilia Quintero Barreiro:</t>
        </r>
        <r>
          <rPr>
            <sz val="9"/>
            <color indexed="81"/>
            <rFont val="Tahoma"/>
            <family val="2"/>
          </rPr>
          <t xml:space="preserve">
se adicionan 500,000 de acuerdo al Memorando No.   Del 04/04/2018</t>
        </r>
      </text>
    </comment>
    <comment ref="Q19" authorId="0" shapeId="0">
      <text>
        <r>
          <rPr>
            <b/>
            <sz val="9"/>
            <color indexed="81"/>
            <rFont val="Tahoma"/>
            <family val="2"/>
          </rPr>
          <t>Martha Cecilia Quintero Barreiro:</t>
        </r>
        <r>
          <rPr>
            <sz val="9"/>
            <color indexed="81"/>
            <rFont val="Tahoma"/>
            <family val="2"/>
          </rPr>
          <t xml:space="preserve">
Se modifica de  acuerdo al Memorando No.. 840 de 31 de julio de 2018</t>
        </r>
      </text>
    </comment>
    <comment ref="M20" authorId="0" shapeId="0">
      <text>
        <r>
          <rPr>
            <b/>
            <sz val="9"/>
            <color indexed="81"/>
            <rFont val="Tahoma"/>
            <family val="2"/>
          </rPr>
          <t>Martha Cecilia Quintero Barreiro:</t>
        </r>
        <r>
          <rPr>
            <sz val="9"/>
            <color indexed="81"/>
            <rFont val="Tahoma"/>
            <family val="2"/>
          </rPr>
          <t xml:space="preserve">
Se modifica de acuerdo al Memorndo 906 del 10/08/2018</t>
        </r>
      </text>
    </comment>
    <comment ref="Q20" authorId="0" shapeId="0">
      <text>
        <r>
          <rPr>
            <b/>
            <sz val="9"/>
            <color indexed="81"/>
            <rFont val="Tahoma"/>
            <family val="2"/>
          </rPr>
          <t>Martha Cecilia Quintero Barreiro:</t>
        </r>
        <r>
          <rPr>
            <sz val="9"/>
            <color indexed="81"/>
            <rFont val="Tahoma"/>
            <family val="2"/>
          </rPr>
          <t xml:space="preserve">
se reducen 
de acuerdo al memorando 1323 del 13 de Noviembre de 2018</t>
        </r>
      </text>
    </comment>
    <comment ref="Q21" authorId="0" shapeId="0">
      <text>
        <r>
          <rPr>
            <b/>
            <sz val="9"/>
            <color indexed="81"/>
            <rFont val="Tahoma"/>
            <family val="2"/>
          </rPr>
          <t>Martha Cecilia Quintero Barreiro:</t>
        </r>
        <r>
          <rPr>
            <sz val="9"/>
            <color indexed="81"/>
            <rFont val="Tahoma"/>
            <family val="2"/>
          </rPr>
          <t xml:space="preserve">
Se reducen $19,008,078de acuerdo al Memorando No. 342 del 12/03/2018</t>
        </r>
      </text>
    </comment>
    <comment ref="Q22" authorId="0" shapeId="0">
      <text>
        <r>
          <rPr>
            <b/>
            <sz val="9"/>
            <color indexed="81"/>
            <rFont val="Tahoma"/>
            <family val="2"/>
          </rPr>
          <t>Martha Cecilia Quintero Barreiro:</t>
        </r>
        <r>
          <rPr>
            <sz val="9"/>
            <color indexed="81"/>
            <rFont val="Tahoma"/>
            <family val="2"/>
          </rPr>
          <t xml:space="preserve">
se restan 500,000 de acuerdo al Memorando No.   Del 04/04/2018 SE REDUCEN 649,000 DE ACUERDO AL MEMORANDO 508 DE 27/04/2018
Se modifica de  acuerdo al Memorando No.. 840 de 31 de julio de 2018
Se modifica de acuerdo al Memorando No. 1454 del 06/12/2018</t>
        </r>
      </text>
    </comment>
    <comment ref="Q23" authorId="0" shapeId="0">
      <text>
        <r>
          <rPr>
            <b/>
            <sz val="9"/>
            <color indexed="81"/>
            <rFont val="Tahoma"/>
            <family val="2"/>
          </rPr>
          <t>Martha Cecilia Quintero Barreiro:</t>
        </r>
        <r>
          <rPr>
            <sz val="9"/>
            <color indexed="81"/>
            <rFont val="Tahoma"/>
            <family val="2"/>
          </rPr>
          <t xml:space="preserve">
se reducen de acuerdo al Memorando No.1136 del 25/09/2018</t>
        </r>
      </text>
    </comment>
    <comment ref="D24" authorId="0" shapeId="0">
      <text>
        <r>
          <rPr>
            <b/>
            <sz val="9"/>
            <color indexed="81"/>
            <rFont val="Tahoma"/>
            <family val="2"/>
          </rPr>
          <t>Martha Cecilia Quintero Barreiro:</t>
        </r>
        <r>
          <rPr>
            <sz val="9"/>
            <color indexed="81"/>
            <rFont val="Tahoma"/>
            <family val="2"/>
          </rPr>
          <t xml:space="preserve">
se modifica objeto contractual de acuerdfo al Memorando No. 508 del 27/04/2018</t>
        </r>
      </text>
    </comment>
    <comment ref="E24" authorId="0" shapeId="0">
      <text>
        <r>
          <rPr>
            <b/>
            <sz val="9"/>
            <color indexed="81"/>
            <rFont val="Tahoma"/>
            <family val="2"/>
          </rPr>
          <t>Martha Cecilia Quintero Barreiro:</t>
        </r>
        <r>
          <rPr>
            <sz val="9"/>
            <color indexed="81"/>
            <rFont val="Tahoma"/>
            <family val="2"/>
          </rPr>
          <t xml:space="preserve">
se adicionan codigoa de acuerdo a Memorando NO. 619* de 25/05/2018</t>
        </r>
      </text>
    </comment>
    <comment ref="Q24" authorId="0" shapeId="0">
      <text>
        <r>
          <rPr>
            <b/>
            <sz val="9"/>
            <color indexed="81"/>
            <rFont val="Tahoma"/>
            <family val="2"/>
          </rPr>
          <t>Martha Cecilia Quintero Barreiro:</t>
        </r>
        <r>
          <rPr>
            <sz val="9"/>
            <color indexed="81"/>
            <rFont val="Tahoma"/>
            <family val="2"/>
          </rPr>
          <t xml:space="preserve">
8,756,500-3,165,500</t>
        </r>
      </text>
    </comment>
    <comment ref="D25" authorId="0" shapeId="0">
      <text>
        <r>
          <rPr>
            <b/>
            <sz val="9"/>
            <color indexed="81"/>
            <rFont val="Tahoma"/>
            <family val="2"/>
          </rPr>
          <t>Martha Cecilia Quintero Barreiro:</t>
        </r>
        <r>
          <rPr>
            <sz val="9"/>
            <color indexed="81"/>
            <rFont val="Tahoma"/>
            <family val="2"/>
          </rPr>
          <t xml:space="preserve">
Se adiciona de acuerdo al Memorando No.1229 del 19 de octubre de 2018</t>
        </r>
      </text>
    </comment>
    <comment ref="E25" authorId="0" shapeId="0">
      <text>
        <r>
          <rPr>
            <b/>
            <sz val="9"/>
            <color indexed="81"/>
            <rFont val="Tahoma"/>
            <family val="2"/>
          </rPr>
          <t>Martha Cecilia Quintero Barreiro:</t>
        </r>
        <r>
          <rPr>
            <sz val="9"/>
            <color indexed="81"/>
            <rFont val="Tahoma"/>
            <family val="2"/>
          </rPr>
          <t xml:space="preserve">
se adicionan codigoa de acuerdo a Memorando NO. 619* de 25/05/2018</t>
        </r>
      </text>
    </comment>
    <comment ref="Q25" authorId="0" shapeId="0">
      <text>
        <r>
          <rPr>
            <b/>
            <sz val="9"/>
            <color indexed="81"/>
            <rFont val="Tahoma"/>
            <family val="2"/>
          </rPr>
          <t>Martha Cecilia Quintero Barreiro:</t>
        </r>
        <r>
          <rPr>
            <sz val="9"/>
            <color indexed="81"/>
            <rFont val="Tahoma"/>
            <family val="2"/>
          </rPr>
          <t xml:space="preserve">
Se adiciona de acuerdo al Memorando No.1229 del 19 de octubre de 2018</t>
        </r>
      </text>
    </comment>
    <comment ref="Q26" authorId="0" shapeId="0">
      <text>
        <r>
          <rPr>
            <b/>
            <sz val="9"/>
            <color indexed="81"/>
            <rFont val="Tahoma"/>
            <family val="2"/>
          </rPr>
          <t>Martha Cecilia Quintero Barreiro:</t>
        </r>
        <r>
          <rPr>
            <sz val="9"/>
            <color indexed="81"/>
            <rFont val="Tahoma"/>
            <family val="2"/>
          </rPr>
          <t xml:space="preserve">
Se modifica de  acuerdo al Memorando No.. 840 de 31 de julio de 2018</t>
        </r>
      </text>
    </comment>
    <comment ref="Q27" authorId="0" shapeId="0">
      <text>
        <r>
          <rPr>
            <b/>
            <sz val="9"/>
            <color indexed="81"/>
            <rFont val="Tahoma"/>
            <family val="2"/>
          </rPr>
          <t>Martha Cecilia Quintero Barreiro:</t>
        </r>
        <r>
          <rPr>
            <sz val="9"/>
            <color indexed="81"/>
            <rFont val="Tahoma"/>
            <family val="2"/>
          </rPr>
          <t xml:space="preserve">
Se reducen $27,0000,00 de acuerdo al Memorando No. 342 del 12/03/2018</t>
        </r>
      </text>
    </comment>
    <comment ref="Q28" authorId="0" shapeId="0">
      <text>
        <r>
          <rPr>
            <b/>
            <sz val="9"/>
            <color indexed="81"/>
            <rFont val="Tahoma"/>
            <family val="2"/>
          </rPr>
          <t>Martha Cecilia Quintero Barreiro:</t>
        </r>
        <r>
          <rPr>
            <sz val="9"/>
            <color indexed="81"/>
            <rFont val="Tahoma"/>
            <family val="2"/>
          </rPr>
          <t xml:space="preserve">
Se modifica de  acuerdo al Memorando No.. 840 de 31 de julio de 2018</t>
        </r>
      </text>
    </comment>
    <comment ref="D29" authorId="0" shapeId="0">
      <text>
        <r>
          <rPr>
            <b/>
            <sz val="9"/>
            <color indexed="81"/>
            <rFont val="Tahoma"/>
            <family val="2"/>
          </rPr>
          <t>Martha Cecilia Quintero Barreiro:</t>
        </r>
        <r>
          <rPr>
            <sz val="9"/>
            <color indexed="81"/>
            <rFont val="Tahoma"/>
            <family val="2"/>
          </rPr>
          <t xml:space="preserve">
SE CREA NUEVO OBJETO DE ACUERDO AL Memorando 505 del 27/04/2018</t>
        </r>
      </text>
    </comment>
    <comment ref="K29" authorId="0" shapeId="0">
      <text>
        <r>
          <rPr>
            <b/>
            <sz val="9"/>
            <color indexed="81"/>
            <rFont val="Tahoma"/>
            <family val="2"/>
          </rPr>
          <t>Martha Cecilia Quintero Barreiro:</t>
        </r>
        <r>
          <rPr>
            <sz val="9"/>
            <color indexed="81"/>
            <rFont val="Tahoma"/>
            <family val="2"/>
          </rPr>
          <t xml:space="preserve">
SE MODIFICA LA FECHA DE ACUERDO AL MEMORANDO 508 DE 27/04/2018
Se modifica de acuerdo al memorando No. 817 de 04/07/2018
Se modifica de  acuerdo al Memorando No.. 840 de 31 de julio de 2018</t>
        </r>
      </text>
    </comment>
    <comment ref="Q30" authorId="0" shapeId="0">
      <text>
        <r>
          <rPr>
            <b/>
            <sz val="9"/>
            <color indexed="81"/>
            <rFont val="Tahoma"/>
            <family val="2"/>
          </rPr>
          <t>Martha Cecilia Quintero Barreiro:</t>
        </r>
        <r>
          <rPr>
            <sz val="9"/>
            <color indexed="81"/>
            <rFont val="Tahoma"/>
            <family val="2"/>
          </rPr>
          <t xml:space="preserve">
se reducen de acuerdo al memorando 1323 del 13 de Noviembre de 2018</t>
        </r>
      </text>
    </comment>
    <comment ref="Q31" authorId="0" shapeId="0">
      <text>
        <r>
          <rPr>
            <b/>
            <sz val="9"/>
            <color indexed="81"/>
            <rFont val="Tahoma"/>
            <family val="2"/>
          </rPr>
          <t>Martha Cecilia Quintero Barreiro:</t>
        </r>
        <r>
          <rPr>
            <sz val="9"/>
            <color indexed="81"/>
            <rFont val="Tahoma"/>
            <family val="2"/>
          </rPr>
          <t xml:space="preserve">
Se reducen de acuerdo al Memorando No. 1136 del 25/09/20018</t>
        </r>
      </text>
    </comment>
    <comment ref="D32" authorId="0" shapeId="0">
      <text>
        <r>
          <rPr>
            <b/>
            <sz val="9"/>
            <color indexed="81"/>
            <rFont val="Tahoma"/>
            <family val="2"/>
          </rPr>
          <t>Martha Cecilia Quintero Barreiro:</t>
        </r>
        <r>
          <rPr>
            <sz val="9"/>
            <color indexed="81"/>
            <rFont val="Tahoma"/>
            <family val="2"/>
          </rPr>
          <t xml:space="preserve">
Se modifica el objeto contractualde acuerdo al Memorando No.1229 del 19 de octubre de 2018</t>
        </r>
      </text>
    </comment>
    <comment ref="Q32" authorId="0" shapeId="0">
      <text>
        <r>
          <rPr>
            <b/>
            <sz val="9"/>
            <color indexed="81"/>
            <rFont val="Tahoma"/>
            <family val="2"/>
          </rPr>
          <t>Martha Cecilia Quintero Barreiro:</t>
        </r>
        <r>
          <rPr>
            <sz val="9"/>
            <color indexed="81"/>
            <rFont val="Tahoma"/>
            <family val="2"/>
          </rPr>
          <t xml:space="preserve">
Se modifica de acuerdo al Memorando No.1229 del 19 de octubre de 2018</t>
        </r>
      </text>
    </comment>
    <comment ref="Q35" authorId="0" shapeId="0">
      <text>
        <r>
          <rPr>
            <b/>
            <sz val="9"/>
            <color indexed="81"/>
            <rFont val="Tahoma"/>
            <family val="2"/>
          </rPr>
          <t>Martha Cecilia Quintero Barreiro:</t>
        </r>
        <r>
          <rPr>
            <sz val="9"/>
            <color indexed="81"/>
            <rFont val="Tahoma"/>
            <family val="2"/>
          </rPr>
          <t xml:space="preserve">
se reducen 
de acuerdo al memorando 1323 del 13 de Noviembre de 2018</t>
        </r>
      </text>
    </comment>
    <comment ref="Q37" authorId="0" shapeId="0">
      <text>
        <r>
          <rPr>
            <b/>
            <sz val="9"/>
            <color indexed="81"/>
            <rFont val="Tahoma"/>
            <family val="2"/>
          </rPr>
          <t>Martha Cecilia Quintero Barreiro:</t>
        </r>
        <r>
          <rPr>
            <sz val="9"/>
            <color indexed="81"/>
            <rFont val="Tahoma"/>
            <family val="2"/>
          </rPr>
          <t xml:space="preserve">
SE ADICIONAN DE ACUERDO A TRASLADO
se reducen 
de acuerdo al memorando 1323 del 13 de Noviembre de 2018</t>
        </r>
      </text>
    </comment>
    <comment ref="M39" authorId="0" shapeId="0">
      <text>
        <r>
          <rPr>
            <b/>
            <sz val="9"/>
            <color indexed="81"/>
            <rFont val="Tahoma"/>
            <family val="2"/>
          </rPr>
          <t>Martha Cecilia Quintero Barreiro:</t>
        </r>
        <r>
          <rPr>
            <sz val="9"/>
            <color indexed="81"/>
            <rFont val="Tahoma"/>
            <family val="2"/>
          </rPr>
          <t xml:space="preserve">
Se modifica de acuerdo al Memorndo 906 del 10/08/2018</t>
        </r>
      </text>
    </comment>
    <comment ref="Q39" authorId="0" shapeId="0">
      <text>
        <r>
          <rPr>
            <b/>
            <sz val="9"/>
            <color indexed="81"/>
            <rFont val="Tahoma"/>
            <family val="2"/>
          </rPr>
          <t>Martha Cecilia Quintero Barreiro:</t>
        </r>
        <r>
          <rPr>
            <sz val="9"/>
            <color indexed="81"/>
            <rFont val="Tahoma"/>
            <family val="2"/>
          </rPr>
          <t xml:space="preserve">
se reducen 1,500,000 De acuerdo al Memorando No.1136 del 25 de septiembre de 2018</t>
        </r>
      </text>
    </comment>
    <comment ref="M40" authorId="0" shapeId="0">
      <text>
        <r>
          <rPr>
            <b/>
            <sz val="9"/>
            <color indexed="81"/>
            <rFont val="Tahoma"/>
            <family val="2"/>
          </rPr>
          <t>Martha Cecilia Quintero Barreiro:</t>
        </r>
        <r>
          <rPr>
            <sz val="9"/>
            <color indexed="81"/>
            <rFont val="Tahoma"/>
            <family val="2"/>
          </rPr>
          <t xml:space="preserve">
Se modifica de acuerdo al Memorndo 906 del 10/08/2018</t>
        </r>
      </text>
    </comment>
    <comment ref="Q40" authorId="0" shapeId="0">
      <text>
        <r>
          <rPr>
            <b/>
            <sz val="9"/>
            <color indexed="81"/>
            <rFont val="Tahoma"/>
            <family val="2"/>
          </rPr>
          <t>Martha Cecilia Quintero Barreiro:</t>
        </r>
        <r>
          <rPr>
            <sz val="9"/>
            <color indexed="81"/>
            <rFont val="Tahoma"/>
            <family val="2"/>
          </rPr>
          <t xml:space="preserve">
se reducen 1,500,000 De acuerdo al Memorando No.1136 del 25 de septiembre de 2018</t>
        </r>
      </text>
    </comment>
    <comment ref="D42" authorId="0" shapeId="0">
      <text>
        <r>
          <rPr>
            <b/>
            <sz val="9"/>
            <color indexed="81"/>
            <rFont val="Tahoma"/>
            <family val="2"/>
          </rPr>
          <t>Martha Cecilia Quintero Barreiro:</t>
        </r>
        <r>
          <rPr>
            <sz val="9"/>
            <color indexed="81"/>
            <rFont val="Tahoma"/>
            <family val="2"/>
          </rPr>
          <t xml:space="preserve">
SE MODIFICA LA FECHA DE ACUERDO AL MEMORANDO 508 DE 27/04/2018</t>
        </r>
      </text>
    </comment>
    <comment ref="K42" authorId="0" shapeId="0">
      <text>
        <r>
          <rPr>
            <b/>
            <sz val="9"/>
            <color indexed="81"/>
            <rFont val="Tahoma"/>
            <family val="2"/>
          </rPr>
          <t>Martha Cecilia Quintero Barreiro:</t>
        </r>
        <r>
          <rPr>
            <sz val="9"/>
            <color indexed="81"/>
            <rFont val="Tahoma"/>
            <family val="2"/>
          </rPr>
          <t xml:space="preserve">
SE MODIFICA LA FECHA DE ACUERDO AL MEMORANDO 508 DE 27/04/2018
Se modifica de acuerdo al memorando No. 817 de 04/07/2018</t>
        </r>
      </text>
    </comment>
    <comment ref="Q46" authorId="0" shapeId="0">
      <text>
        <r>
          <rPr>
            <b/>
            <sz val="9"/>
            <color indexed="81"/>
            <rFont val="Tahoma"/>
            <family val="2"/>
          </rPr>
          <t>Martha Cecilia Quintero Barreiro:</t>
        </r>
        <r>
          <rPr>
            <sz val="9"/>
            <color indexed="81"/>
            <rFont val="Tahoma"/>
            <family val="2"/>
          </rPr>
          <t xml:space="preserve">
Se reducen de acuerdo al Memorando No. 183 del 23/01/2018</t>
        </r>
      </text>
    </comment>
    <comment ref="U46" authorId="0" shapeId="0">
      <text>
        <r>
          <rPr>
            <b/>
            <sz val="9"/>
            <color indexed="81"/>
            <rFont val="Tahoma"/>
            <family val="2"/>
          </rPr>
          <t>Martha Cecilia Quintero Barreiro:</t>
        </r>
        <r>
          <rPr>
            <sz val="9"/>
            <color indexed="81"/>
            <rFont val="Tahoma"/>
            <family val="2"/>
          </rPr>
          <t xml:space="preserve">
Se reducen de acuerdo al Memorando No. 183 del 23/01/2018</t>
        </r>
      </text>
    </comment>
    <comment ref="Q47" authorId="0" shapeId="0">
      <text>
        <r>
          <rPr>
            <b/>
            <sz val="9"/>
            <color indexed="81"/>
            <rFont val="Tahoma"/>
            <family val="2"/>
          </rPr>
          <t>Martha Cecilia Quintero Barreiro:</t>
        </r>
        <r>
          <rPr>
            <sz val="9"/>
            <color indexed="81"/>
            <rFont val="Tahoma"/>
            <family val="2"/>
          </rPr>
          <t xml:space="preserve">
Se reducen de acuerdo al Memorando No. 183 del 23/01/2018</t>
        </r>
      </text>
    </comment>
    <comment ref="U47" authorId="0" shapeId="0">
      <text>
        <r>
          <rPr>
            <b/>
            <sz val="9"/>
            <color indexed="81"/>
            <rFont val="Tahoma"/>
            <family val="2"/>
          </rPr>
          <t>Martha Cecilia Quintero Barreiro:</t>
        </r>
        <r>
          <rPr>
            <sz val="9"/>
            <color indexed="81"/>
            <rFont val="Tahoma"/>
            <family val="2"/>
          </rPr>
          <t xml:space="preserve">
Se reducen de acuerdo al Memorando No. 183 del 23/01/2018</t>
        </r>
      </text>
    </comment>
    <comment ref="Q48" authorId="0" shapeId="0">
      <text>
        <r>
          <rPr>
            <b/>
            <sz val="9"/>
            <color indexed="81"/>
            <rFont val="Tahoma"/>
            <family val="2"/>
          </rPr>
          <t>Martha Cecilia Quintero Barreiro:</t>
        </r>
        <r>
          <rPr>
            <sz val="9"/>
            <color indexed="81"/>
            <rFont val="Tahoma"/>
            <family val="2"/>
          </rPr>
          <t xml:space="preserve">
Se reducen de acuerdo al Memorando No. 183 del 23/01/2018</t>
        </r>
      </text>
    </comment>
    <comment ref="U48" authorId="0" shapeId="0">
      <text>
        <r>
          <rPr>
            <b/>
            <sz val="9"/>
            <color indexed="81"/>
            <rFont val="Tahoma"/>
            <family val="2"/>
          </rPr>
          <t>Martha Cecilia Quintero Barreiro:</t>
        </r>
        <r>
          <rPr>
            <sz val="9"/>
            <color indexed="81"/>
            <rFont val="Tahoma"/>
            <family val="2"/>
          </rPr>
          <t xml:space="preserve">
Se reducen de acuerdo al Memorando No. 183 del 23/01/2018</t>
        </r>
      </text>
    </comment>
    <comment ref="Q49" authorId="0" shapeId="0">
      <text>
        <r>
          <rPr>
            <b/>
            <sz val="9"/>
            <color indexed="81"/>
            <rFont val="Tahoma"/>
            <family val="2"/>
          </rPr>
          <t>Martha Cecilia Quintero Barreiro:</t>
        </r>
        <r>
          <rPr>
            <sz val="9"/>
            <color indexed="81"/>
            <rFont val="Tahoma"/>
            <family val="2"/>
          </rPr>
          <t xml:space="preserve">
Se reducen de acuerdo al Memorando No. 183 del 23/01/2018</t>
        </r>
      </text>
    </comment>
    <comment ref="U49" authorId="0" shapeId="0">
      <text>
        <r>
          <rPr>
            <b/>
            <sz val="9"/>
            <color indexed="81"/>
            <rFont val="Tahoma"/>
            <family val="2"/>
          </rPr>
          <t>Martha Cecilia Quintero Barreiro:</t>
        </r>
        <r>
          <rPr>
            <sz val="9"/>
            <color indexed="81"/>
            <rFont val="Tahoma"/>
            <family val="2"/>
          </rPr>
          <t xml:space="preserve">
Se reducen de acuerdo al Memorando No. 183 del 23/01/2018</t>
        </r>
      </text>
    </comment>
    <comment ref="Q50" authorId="0" shapeId="0">
      <text>
        <r>
          <rPr>
            <b/>
            <sz val="9"/>
            <color indexed="81"/>
            <rFont val="Tahoma"/>
            <family val="2"/>
          </rPr>
          <t>Martha Cecilia Quintero Barreiro:</t>
        </r>
        <r>
          <rPr>
            <sz val="9"/>
            <color indexed="81"/>
            <rFont val="Tahoma"/>
            <family val="2"/>
          </rPr>
          <t xml:space="preserve">
Se adicionan de acuerdo al Memorando No. 183 del 23/01/2018</t>
        </r>
      </text>
    </comment>
    <comment ref="Q53" authorId="0" shapeId="0">
      <text>
        <r>
          <rPr>
            <b/>
            <sz val="9"/>
            <color indexed="81"/>
            <rFont val="Tahoma"/>
            <family val="2"/>
          </rPr>
          <t>Martha Cecilia Quintero Barreiro:</t>
        </r>
        <r>
          <rPr>
            <sz val="9"/>
            <color indexed="81"/>
            <rFont val="Tahoma"/>
            <family val="2"/>
          </rPr>
          <t xml:space="preserve">
se reducen de acuerdo al Memorando No.1136 del 25 de septiembre de 2018</t>
        </r>
      </text>
    </comment>
    <comment ref="Q54" authorId="0" shapeId="0">
      <text>
        <r>
          <rPr>
            <b/>
            <sz val="9"/>
            <color indexed="81"/>
            <rFont val="Tahoma"/>
            <family val="2"/>
          </rPr>
          <t>Martha Cecilia Quintero Barreiro:</t>
        </r>
        <r>
          <rPr>
            <sz val="9"/>
            <color indexed="81"/>
            <rFont val="Tahoma"/>
            <family val="2"/>
          </rPr>
          <t xml:space="preserve">
sse reduen De acuerdo al Memorando No.1136 del 25 de septiembre de 2018</t>
        </r>
      </text>
    </comment>
    <comment ref="Q55" authorId="0" shapeId="0">
      <text>
        <r>
          <rPr>
            <b/>
            <sz val="9"/>
            <color indexed="81"/>
            <rFont val="Tahoma"/>
            <family val="2"/>
          </rPr>
          <t>Martha Cecilia Quintero Barreiro:</t>
        </r>
        <r>
          <rPr>
            <sz val="9"/>
            <color indexed="81"/>
            <rFont val="Tahoma"/>
            <family val="2"/>
          </rPr>
          <t xml:space="preserve">
Se modifica de acuerdo al Memorando No.1567 de 18/12/2018</t>
        </r>
      </text>
    </comment>
    <comment ref="K58" authorId="0" shapeId="0">
      <text>
        <r>
          <rPr>
            <b/>
            <sz val="9"/>
            <color indexed="81"/>
            <rFont val="Tahoma"/>
            <family val="2"/>
          </rPr>
          <t>Martha Cecilia Quintero Barreiro:</t>
        </r>
        <r>
          <rPr>
            <sz val="9"/>
            <color indexed="81"/>
            <rFont val="Tahoma"/>
            <family val="2"/>
          </rPr>
          <t xml:space="preserve">
Se modifica el mes de acuerdo al Memorando No. 342 de 12/03/2018
SE MODIFICA LA FECHA DE ACUERDO AL MEMORANDO 508 DE 27/04/2018</t>
        </r>
      </text>
    </comment>
    <comment ref="Q58" authorId="0" shapeId="0">
      <text>
        <r>
          <rPr>
            <b/>
            <sz val="9"/>
            <color indexed="81"/>
            <rFont val="Tahoma"/>
            <family val="2"/>
          </rPr>
          <t>Martha Cecilia Quintero Barreiro:</t>
        </r>
        <r>
          <rPr>
            <sz val="9"/>
            <color indexed="81"/>
            <rFont val="Tahoma"/>
            <family val="2"/>
          </rPr>
          <t xml:space="preserve">
se modifica de acuerdo al memorando No. 262 del 15/02/2018.</t>
        </r>
      </text>
    </comment>
    <comment ref="Q59" authorId="0" shapeId="0">
      <text>
        <r>
          <rPr>
            <b/>
            <sz val="9"/>
            <color indexed="81"/>
            <rFont val="Tahoma"/>
            <family val="2"/>
          </rPr>
          <t>Martha Cecilia Quintero Barreiro:</t>
        </r>
        <r>
          <rPr>
            <sz val="9"/>
            <color indexed="81"/>
            <rFont val="Tahoma"/>
            <family val="2"/>
          </rPr>
          <t xml:space="preserve">
se reduce De acuerdo al Memorando No.1136 del 25 de septiembre de 2018</t>
        </r>
      </text>
    </comment>
    <comment ref="Q60" authorId="0" shapeId="0">
      <text>
        <r>
          <rPr>
            <b/>
            <sz val="9"/>
            <color indexed="81"/>
            <rFont val="Tahoma"/>
            <family val="2"/>
          </rPr>
          <t>Martha Cecilia Quintero Barreiro:</t>
        </r>
        <r>
          <rPr>
            <sz val="9"/>
            <color indexed="81"/>
            <rFont val="Tahoma"/>
            <family val="2"/>
          </rPr>
          <t xml:space="preserve">
se reduce de acuerdo al memorando No. 262 del 15/02/2018.</t>
        </r>
      </text>
    </comment>
    <comment ref="K63" authorId="0" shapeId="0">
      <text>
        <r>
          <rPr>
            <b/>
            <sz val="9"/>
            <color indexed="81"/>
            <rFont val="Tahoma"/>
            <family val="2"/>
          </rPr>
          <t>Martha Cecilia Quintero Barreiro:</t>
        </r>
        <r>
          <rPr>
            <sz val="9"/>
            <color indexed="81"/>
            <rFont val="Tahoma"/>
            <family val="2"/>
          </rPr>
          <t xml:space="preserve">
Se modifica el mes de acuerdo al Memorando No. 342 de 12/03/2018 SE MODIFICA LA FECHA DE ACUERDO AL MEMORANDO 508 DE 27/04/2018</t>
        </r>
      </text>
    </comment>
    <comment ref="Q64" authorId="0" shapeId="0">
      <text>
        <r>
          <rPr>
            <b/>
            <sz val="9"/>
            <color indexed="81"/>
            <rFont val="Tahoma"/>
            <family val="2"/>
          </rPr>
          <t>Martha Cecilia Quintero Barreiro:</t>
        </r>
        <r>
          <rPr>
            <sz val="9"/>
            <color indexed="81"/>
            <rFont val="Tahoma"/>
            <family val="2"/>
          </rPr>
          <t xml:space="preserve">
se reducen De acuerdo al Memorando No.1136 del 25 de septiembre de 2018</t>
        </r>
      </text>
    </comment>
    <comment ref="K65" authorId="0" shapeId="0">
      <text>
        <r>
          <rPr>
            <b/>
            <sz val="9"/>
            <color indexed="81"/>
            <rFont val="Tahoma"/>
            <family val="2"/>
          </rPr>
          <t>Martha Cecilia Quintero Barreiro:</t>
        </r>
        <r>
          <rPr>
            <sz val="9"/>
            <color indexed="81"/>
            <rFont val="Tahoma"/>
            <family val="2"/>
          </rPr>
          <t xml:space="preserve">
Se modifica el mes de acuerdo al Memorando No. 342 de 12/03/2018 SE MODIFICA LA FECHA DE ACUERDO AL MEMORANDO 508 DE 27/04/2018</t>
        </r>
      </text>
    </comment>
    <comment ref="O65" authorId="0" shapeId="0">
      <text>
        <r>
          <rPr>
            <b/>
            <sz val="9"/>
            <color indexed="81"/>
            <rFont val="Tahoma"/>
            <family val="2"/>
          </rPr>
          <t>Martha Cecilia Quintero Barreiro:</t>
        </r>
        <r>
          <rPr>
            <sz val="9"/>
            <color indexed="81"/>
            <rFont val="Tahoma"/>
            <family val="2"/>
          </rPr>
          <t xml:space="preserve">
SE MODIFICA LA FECHA DE ACUERDO AL MEMORANDO 508 DE 27/04/2018</t>
        </r>
      </text>
    </comment>
    <comment ref="Q66" authorId="0" shapeId="0">
      <text>
        <r>
          <rPr>
            <b/>
            <sz val="9"/>
            <color indexed="81"/>
            <rFont val="Tahoma"/>
            <family val="2"/>
          </rPr>
          <t>Martha Cecilia Quintero Barreiro:</t>
        </r>
        <r>
          <rPr>
            <sz val="9"/>
            <color indexed="81"/>
            <rFont val="Tahoma"/>
            <family val="2"/>
          </rPr>
          <t xml:space="preserve">
se resta De acuerdo al Memorando No.1136 del 25 de septiembre de 2018</t>
        </r>
      </text>
    </comment>
    <comment ref="D70" authorId="0" shapeId="0">
      <text>
        <r>
          <rPr>
            <b/>
            <sz val="9"/>
            <color indexed="81"/>
            <rFont val="Tahoma"/>
            <family val="2"/>
          </rPr>
          <t>Martha Cecilia Quintero Barreiro:</t>
        </r>
        <r>
          <rPr>
            <sz val="9"/>
            <color indexed="81"/>
            <rFont val="Tahoma"/>
            <family val="2"/>
          </rPr>
          <t xml:space="preserve">
SE MODIFICA DE ACUERDO AL MEMORANDO 1323 DEL 13 DE NOVIEMBRE DE 2018</t>
        </r>
      </text>
    </comment>
    <comment ref="K70" authorId="0" shapeId="0">
      <text>
        <r>
          <rPr>
            <b/>
            <sz val="9"/>
            <color indexed="81"/>
            <rFont val="Tahoma"/>
            <family val="2"/>
          </rPr>
          <t>Martha Cecilia Quintero Barreiro:</t>
        </r>
        <r>
          <rPr>
            <sz val="9"/>
            <color indexed="81"/>
            <rFont val="Tahoma"/>
            <family val="2"/>
          </rPr>
          <t xml:space="preserve">
Se modifica de acuerdo al Memorndo 906 del 10/08/2018</t>
        </r>
      </text>
    </comment>
    <comment ref="L70" authorId="0" shapeId="0">
      <text>
        <r>
          <rPr>
            <b/>
            <sz val="9"/>
            <color indexed="81"/>
            <rFont val="Tahoma"/>
            <family val="2"/>
          </rPr>
          <t>Martha Cecilia Quintero Barreiro:</t>
        </r>
        <r>
          <rPr>
            <sz val="9"/>
            <color indexed="81"/>
            <rFont val="Tahoma"/>
            <family val="2"/>
          </rPr>
          <t xml:space="preserve">
Se modifica el mes de acuerdo al Memorando No. 342 de 12/03/2018</t>
        </r>
      </text>
    </comment>
    <comment ref="M70" authorId="0" shapeId="0">
      <text>
        <r>
          <rPr>
            <b/>
            <sz val="9"/>
            <color indexed="81"/>
            <rFont val="Tahoma"/>
            <family val="2"/>
          </rPr>
          <t>Martha Cecilia Quintero Barreiro:</t>
        </r>
        <r>
          <rPr>
            <sz val="9"/>
            <color indexed="81"/>
            <rFont val="Tahoma"/>
            <family val="2"/>
          </rPr>
          <t xml:space="preserve">
Se modifica de acuerdo al Memorndo 906 del 10/08/2018</t>
        </r>
      </text>
    </comment>
    <comment ref="K71" authorId="0" shapeId="0">
      <text>
        <r>
          <rPr>
            <b/>
            <sz val="9"/>
            <color indexed="81"/>
            <rFont val="Tahoma"/>
            <family val="2"/>
          </rPr>
          <t>Martha Cecilia Quintero Barreiro:</t>
        </r>
        <r>
          <rPr>
            <sz val="9"/>
            <color indexed="81"/>
            <rFont val="Tahoma"/>
            <family val="2"/>
          </rPr>
          <t xml:space="preserve">
Se modifica el mes de acuerdo al Memorando No. 342 de 12/03/2018</t>
        </r>
      </text>
    </comment>
    <comment ref="L71" authorId="0" shapeId="0">
      <text>
        <r>
          <rPr>
            <b/>
            <sz val="9"/>
            <color indexed="81"/>
            <rFont val="Tahoma"/>
            <family val="2"/>
          </rPr>
          <t>Martha Cecilia Quintero Barreiro:</t>
        </r>
        <r>
          <rPr>
            <sz val="9"/>
            <color indexed="81"/>
            <rFont val="Tahoma"/>
            <family val="2"/>
          </rPr>
          <t xml:space="preserve">
Se modifica el mes de acuerdo al Memorando No. 342 de 12/03/2018</t>
        </r>
      </text>
    </comment>
    <comment ref="M71" authorId="0" shapeId="0">
      <text>
        <r>
          <rPr>
            <b/>
            <sz val="9"/>
            <color indexed="81"/>
            <rFont val="Tahoma"/>
            <family val="2"/>
          </rPr>
          <t>Martha Cecilia Quintero Barreiro:</t>
        </r>
        <r>
          <rPr>
            <sz val="9"/>
            <color indexed="81"/>
            <rFont val="Tahoma"/>
            <family val="2"/>
          </rPr>
          <t xml:space="preserve">
Se modifica de acuerdo al Memorndo 906 del 10/08/2018</t>
        </r>
      </text>
    </comment>
    <comment ref="Q71" authorId="0" shapeId="0">
      <text>
        <r>
          <rPr>
            <b/>
            <sz val="9"/>
            <color indexed="81"/>
            <rFont val="Tahoma"/>
            <family val="2"/>
          </rPr>
          <t>Martha Cecilia Quintero Barreiro:</t>
        </r>
        <r>
          <rPr>
            <sz val="9"/>
            <color indexed="81"/>
            <rFont val="Tahoma"/>
            <family val="2"/>
          </rPr>
          <t xml:space="preserve">
Se modifica De acuerdo al Memorando No.1136 del 25 de septiembre de 2018</t>
        </r>
      </text>
    </comment>
    <comment ref="D72" authorId="0" shapeId="0">
      <text>
        <r>
          <rPr>
            <b/>
            <sz val="9"/>
            <color indexed="81"/>
            <rFont val="Tahoma"/>
            <family val="2"/>
          </rPr>
          <t>Martha Cecilia Quintero Barreiro:</t>
        </r>
        <r>
          <rPr>
            <sz val="9"/>
            <color indexed="81"/>
            <rFont val="Tahoma"/>
            <family val="2"/>
          </rPr>
          <t xml:space="preserve">
se creda nuevo  De acuerdo al Memorando No.1136 del 25 de septiembre de 2018</t>
        </r>
      </text>
    </comment>
    <comment ref="K72" authorId="0" shapeId="0">
      <text>
        <r>
          <rPr>
            <b/>
            <sz val="9"/>
            <color indexed="81"/>
            <rFont val="Tahoma"/>
            <family val="2"/>
          </rPr>
          <t>Martha Cecilia Quintero Barreiro:</t>
        </r>
        <r>
          <rPr>
            <sz val="9"/>
            <color indexed="81"/>
            <rFont val="Tahoma"/>
            <family val="2"/>
          </rPr>
          <t xml:space="preserve">
Se modifica el mes de acuerdo al Memorando No. 342 de 12/03/2018</t>
        </r>
      </text>
    </comment>
    <comment ref="L72" authorId="0" shapeId="0">
      <text>
        <r>
          <rPr>
            <b/>
            <sz val="9"/>
            <color indexed="81"/>
            <rFont val="Tahoma"/>
            <family val="2"/>
          </rPr>
          <t>Martha Cecilia Quintero Barreiro:</t>
        </r>
        <r>
          <rPr>
            <sz val="9"/>
            <color indexed="81"/>
            <rFont val="Tahoma"/>
            <family val="2"/>
          </rPr>
          <t xml:space="preserve">
Se modifica el mes de acuerdo al Memorando No. 342 de 12/03/2018</t>
        </r>
      </text>
    </comment>
    <comment ref="M72" authorId="0" shapeId="0">
      <text>
        <r>
          <rPr>
            <b/>
            <sz val="9"/>
            <color indexed="81"/>
            <rFont val="Tahoma"/>
            <family val="2"/>
          </rPr>
          <t>Martha Cecilia Quintero Barreiro:</t>
        </r>
        <r>
          <rPr>
            <sz val="9"/>
            <color indexed="81"/>
            <rFont val="Tahoma"/>
            <family val="2"/>
          </rPr>
          <t xml:space="preserve">
Se modifica de acuerdo al Memorndo 906 del 10/08/2018</t>
        </r>
      </text>
    </comment>
    <comment ref="Q72" authorId="0" shapeId="0">
      <text>
        <r>
          <rPr>
            <b/>
            <sz val="9"/>
            <color indexed="81"/>
            <rFont val="Tahoma"/>
            <family val="2"/>
          </rPr>
          <t>Martha Cecilia Quintero Barreiro:</t>
        </r>
        <r>
          <rPr>
            <sz val="9"/>
            <color indexed="81"/>
            <rFont val="Tahoma"/>
            <family val="2"/>
          </rPr>
          <t xml:space="preserve">
se adicionan 33,789 de acuerdo al memorando 1323 del 13 de noviembre de 2018</t>
        </r>
      </text>
    </comment>
    <comment ref="K79" authorId="0" shapeId="0">
      <text>
        <r>
          <rPr>
            <b/>
            <sz val="9"/>
            <color indexed="81"/>
            <rFont val="Tahoma"/>
            <family val="2"/>
          </rPr>
          <t>Martha Cecilia Quintero Barreiro:</t>
        </r>
        <r>
          <rPr>
            <sz val="9"/>
            <color indexed="81"/>
            <rFont val="Tahoma"/>
            <family val="2"/>
          </rPr>
          <t xml:space="preserve">
Se modifica de acuerdo al Memorando No.626 del 31/05/2018
Se modifica de acuerdo al memorando No. 817 de 04/07/2018
Se modifica de  acuerdo al Memorando No.. 840 de 31 de julio de 2018</t>
        </r>
      </text>
    </comment>
    <comment ref="M82" authorId="0" shapeId="0">
      <text>
        <r>
          <rPr>
            <b/>
            <sz val="9"/>
            <color indexed="81"/>
            <rFont val="Tahoma"/>
            <family val="2"/>
          </rPr>
          <t>Martha Cecilia Quintero Barreiro:</t>
        </r>
        <r>
          <rPr>
            <sz val="9"/>
            <color indexed="81"/>
            <rFont val="Tahoma"/>
            <family val="2"/>
          </rPr>
          <t xml:space="preserve">
Se modifica de acuerdo al Memorndo 906 del 10/08/2018</t>
        </r>
      </text>
    </comment>
    <comment ref="K83" authorId="0" shapeId="0">
      <text>
        <r>
          <rPr>
            <b/>
            <sz val="9"/>
            <color indexed="81"/>
            <rFont val="Tahoma"/>
            <family val="2"/>
          </rPr>
          <t>Martha Cecilia Quintero Barreiro:</t>
        </r>
        <r>
          <rPr>
            <sz val="9"/>
            <color indexed="81"/>
            <rFont val="Tahoma"/>
            <family val="2"/>
          </rPr>
          <t xml:space="preserve">
Se modifica de acuerdo al Memorando No.626 del 31/05/2018
Se modifica de acuerdo al memorando No. 817 de 04/07/2018</t>
        </r>
      </text>
    </comment>
    <comment ref="K84" authorId="0" shapeId="0">
      <text>
        <r>
          <rPr>
            <b/>
            <sz val="9"/>
            <color indexed="81"/>
            <rFont val="Tahoma"/>
            <family val="2"/>
          </rPr>
          <t>Martha Cecilia Quintero Barreiro:</t>
        </r>
        <r>
          <rPr>
            <sz val="9"/>
            <color indexed="81"/>
            <rFont val="Tahoma"/>
            <family val="2"/>
          </rPr>
          <t xml:space="preserve">
Se modifica de acuerdo al memorando No. 817 de 04/07/2018</t>
        </r>
      </text>
    </comment>
    <comment ref="K86" authorId="0" shapeId="0">
      <text>
        <r>
          <rPr>
            <b/>
            <sz val="9"/>
            <color indexed="81"/>
            <rFont val="Tahoma"/>
            <family val="2"/>
          </rPr>
          <t>Martha Cecilia Quintero Barreiro:</t>
        </r>
        <r>
          <rPr>
            <sz val="9"/>
            <color indexed="81"/>
            <rFont val="Tahoma"/>
            <family val="2"/>
          </rPr>
          <t xml:space="preserve">
Se modifica de acuerdo al Memorando No.626 del 31/05/2018
Se modifica de acuerdo al Memorndo 906 del 10/08/2018</t>
        </r>
      </text>
    </comment>
    <comment ref="L86" authorId="0" shapeId="0">
      <text>
        <r>
          <rPr>
            <b/>
            <sz val="9"/>
            <color indexed="81"/>
            <rFont val="Tahoma"/>
            <family val="2"/>
          </rPr>
          <t>Martha Cecilia Quintero Barreiro:</t>
        </r>
        <r>
          <rPr>
            <sz val="9"/>
            <color indexed="81"/>
            <rFont val="Tahoma"/>
            <family val="2"/>
          </rPr>
          <t xml:space="preserve">
Se modifica de acuerdo al Memorndo 906 del 10/08/2018</t>
        </r>
      </text>
    </comment>
    <comment ref="Q87" authorId="0" shapeId="0">
      <text>
        <r>
          <rPr>
            <b/>
            <sz val="9"/>
            <color indexed="81"/>
            <rFont val="Tahoma"/>
            <family val="2"/>
          </rPr>
          <t>Martha Cecilia Quintero Barreiro:</t>
        </r>
        <r>
          <rPr>
            <sz val="9"/>
            <color indexed="81"/>
            <rFont val="Tahoma"/>
            <family val="2"/>
          </rPr>
          <t xml:space="preserve">
Se modifica de acuerdo al Memorando No. 1454 del 06/12/2018</t>
        </r>
      </text>
    </comment>
    <comment ref="Q88" authorId="0" shapeId="0">
      <text>
        <r>
          <rPr>
            <b/>
            <sz val="9"/>
            <color indexed="81"/>
            <rFont val="Tahoma"/>
            <family val="2"/>
          </rPr>
          <t>Martha Cecilia Quintero Barreiro:</t>
        </r>
        <r>
          <rPr>
            <sz val="9"/>
            <color indexed="81"/>
            <rFont val="Tahoma"/>
            <family val="2"/>
          </rPr>
          <t xml:space="preserve">
Se modifica de acuerdo al Memorando No. 1454 del 06/12/2018</t>
        </r>
      </text>
    </comment>
    <comment ref="Q89" authorId="0" shapeId="0">
      <text>
        <r>
          <rPr>
            <b/>
            <sz val="9"/>
            <color indexed="81"/>
            <rFont val="Tahoma"/>
            <family val="2"/>
          </rPr>
          <t>Martha Cecilia Quintero Barreiro:</t>
        </r>
        <r>
          <rPr>
            <sz val="9"/>
            <color indexed="81"/>
            <rFont val="Tahoma"/>
            <family val="2"/>
          </rPr>
          <t xml:space="preserve">
Se modifica de acuerdo al Memorando No. 1454 del 06/12/2018</t>
        </r>
      </text>
    </comment>
  </commentList>
</comments>
</file>

<file path=xl/sharedStrings.xml><?xml version="1.0" encoding="utf-8"?>
<sst xmlns="http://schemas.openxmlformats.org/spreadsheetml/2006/main" count="3403" uniqueCount="1220">
  <si>
    <t>Plan de desarrollo 2012-2016 "Bogotá Humana"</t>
  </si>
  <si>
    <t>PROYECTO</t>
  </si>
  <si>
    <t>COMPONENTE</t>
  </si>
  <si>
    <t>ACTIVIDAD</t>
  </si>
  <si>
    <t>TRANSFERENCIAS</t>
  </si>
  <si>
    <t>RECURSOS ADMINISTRADOS</t>
  </si>
  <si>
    <t>TOTAL</t>
  </si>
  <si>
    <t>SUBTOTAL</t>
  </si>
  <si>
    <t>RECURSOS PROPIOS</t>
  </si>
  <si>
    <t>Implementar 100% del Sistema Integrado de Gestión.</t>
  </si>
  <si>
    <t>Adecuar  SEDE administrativa del IDEP a nivel de infraestructura física y tecnológica.</t>
  </si>
  <si>
    <t>NANCY MARTINEZ ÁLVAREZ</t>
  </si>
  <si>
    <t>LUIS ARTURO FORERO RONDEROS</t>
  </si>
  <si>
    <t>Directora General IDEP</t>
  </si>
  <si>
    <t>Jefe Oficina Asesora de Planeación</t>
  </si>
  <si>
    <t>ITEM</t>
  </si>
  <si>
    <t>OBJETO DEL CONTRATO</t>
  </si>
  <si>
    <t>Prestación de servicios profesionales para apoyar administrativamente la investigación del Estudio General en temas relacionados con la gestión en el sector educativo.</t>
  </si>
  <si>
    <t xml:space="preserve"> </t>
  </si>
  <si>
    <t>TOTAL PLAN DE COMPRAS BOGOTÁ HUMANA AÑO 2013</t>
  </si>
  <si>
    <t>TOTAL PROYECTO FORTALECIMIENTO INSTITUCIONAL No. 907</t>
  </si>
  <si>
    <t>TOTAL COMPONENTE ADECUADAS CONDICIONES FÍSICAS Y TECNOLÓGICAS</t>
  </si>
  <si>
    <t>Total Meta:Adecuación física  Sede del IDEP</t>
  </si>
  <si>
    <t>Total actividad</t>
  </si>
  <si>
    <t>Soluciones integrales de oficina S.A.S.</t>
  </si>
  <si>
    <t>menor cuantía</t>
  </si>
  <si>
    <t>junio</t>
  </si>
  <si>
    <t>Contratar la compra e instalación de cortinas enrollables para la oficina 402A y 402B del Instituto para la Investigación Educativa y el Desarrollo Pedagógico _IDEP de acuerdo a las condiciones técnicas.</t>
  </si>
  <si>
    <t>X</t>
  </si>
  <si>
    <t>Carlos Prieto Olarte</t>
  </si>
  <si>
    <t>Adecuación física  Sede del IDEP</t>
  </si>
  <si>
    <t>Total Meta:Avanzar en la renovacion de la infraestructura tecnológica.</t>
  </si>
  <si>
    <t>SALDO Contratar la compra e instalación del equipo de aire acondicionado para el cuarto de comunicaciones del Instituto para la Investigación Educativa y el Desarrollo Pedagógico IDEP.</t>
  </si>
  <si>
    <t>Aire 
Acondicionado</t>
  </si>
  <si>
    <t>Minima cuantía</t>
  </si>
  <si>
    <t>abril</t>
  </si>
  <si>
    <t>Contratar la compra e instalación del equipo de aire acondicionado para el cuarto de comunicaciones del Instituto para la Investigación Educativa y el Desarrollo Pedagógico IDEP.</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</si>
  <si>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</si>
  <si>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 xml:space="preserve">NEX COMPUTER </t>
  </si>
  <si>
    <t>agosto</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</si>
  <si>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IDE¨P y la Secretaria de Educación del Distrito Capital- SED</t>
  </si>
  <si>
    <t>x</t>
  </si>
  <si>
    <t>SALDO   ompraventa de una Suite Adobe CS6 Design and Web Premium licencia comercial, para el instituto para la investigación Educativa y el Desarrollo Pedagógico- IDEP</t>
  </si>
  <si>
    <t>minima cuantía</t>
  </si>
  <si>
    <t xml:space="preserve">noviembre </t>
  </si>
  <si>
    <t>Compraventa de una Suite Adobe CS6 Design and Web Premium licencia comercial, para el instituto para la investigación Educativa y el Desarrollo Pedagógico- IDEP</t>
  </si>
  <si>
    <t>subasta inversa</t>
  </si>
  <si>
    <t>mayo</t>
  </si>
  <si>
    <t>Compra y venta e instalación de equipos de infraestructura tecnologica para la operación del IDEP</t>
  </si>
  <si>
    <t>Luis Arturo Forero Ronderos</t>
  </si>
  <si>
    <t>Avanzar en la renovacion de la infraestructura tecnológica.</t>
  </si>
  <si>
    <t xml:space="preserve">Porcentaje de avance en las adecuaciones físicas y tecnológicas </t>
  </si>
  <si>
    <t>ADECUADAS CONDICIONES FÍSICAS Y TECNOLÓGICAS</t>
  </si>
  <si>
    <t>TOTAL COMPONENTE DE GESTIÓN INSTITUCIONAL</t>
  </si>
  <si>
    <t>Total Meta:Realizar un evento para fortalecer las condiciones  institucionales , culturales  y una gestión pública transparente en el IDEP.</t>
  </si>
  <si>
    <t>directa</t>
  </si>
  <si>
    <t>octubre</t>
  </si>
  <si>
    <t>Prestación de servicios para realizar un evento para fortalecer las condiciones institucionales, culturales y una gestión pública transparente en el IDEP.</t>
  </si>
  <si>
    <t>Gerardo Duque Gutierrez</t>
  </si>
  <si>
    <t>septiembre</t>
  </si>
  <si>
    <t>Prestación de servicios profesionales de capacitación para fortalecer las competencias de los servidores del Instituto en la reformulación de la batería de indicadores y de los riesgos asociados.</t>
  </si>
  <si>
    <t>Realizar un evento de socialización de las políticas de transparencia</t>
  </si>
  <si>
    <t>Porcentaje de avance del evento</t>
  </si>
  <si>
    <t>Realizar un evento para fortalecer las condiciones  institucionales , culturales  y una gestión pública transparente en el IDEP.</t>
  </si>
  <si>
    <t xml:space="preserve">Total Meta: Realizar 15% de la implementacion y sostenibilidad del Sistema Integrado de Gestión </t>
  </si>
  <si>
    <t>Prestación de servicios para el apoyo de la implementación del sistema integrado de Gestión.</t>
  </si>
  <si>
    <t>Nelba Beltran</t>
  </si>
  <si>
    <t>Prestación de  servicios profesionales para apoyar a la subdirección administrativa financiera y de control disciplinario en el proceso de reconocimiento de salarios, prestaciones sociales, seguridad social y demás conceptos asociados a la nómina.</t>
  </si>
  <si>
    <t>SALDO Contratar la prestación de servicios profesionales, para apoyar al IDEP en la elaboración y presentación de una propuesta del Plan Estratégico de Desarrollo institucional.</t>
  </si>
  <si>
    <t>César Enrique Sánchez Jaramillo</t>
  </si>
  <si>
    <t>Contratar la prestación de servicios profesionales, para apoyar al IDEP en la revisión, ajuste y divulgación del Plan Estratégico de Desarrollo Institucional PEDI</t>
  </si>
  <si>
    <t>Paula Andrea Orozco</t>
  </si>
  <si>
    <t xml:space="preserve">Prestación de servicios profesionales  para aplicar la metodologia de Evaluación  de impacto con la que cuenta el IDEP  a dos proyectos de investigación o innovación que hayan sido desarrollados por el Instituto </t>
  </si>
  <si>
    <t>Diana Carolina Muñoz</t>
  </si>
  <si>
    <t>febrero</t>
  </si>
  <si>
    <t>Contratar los servicios profesionales  para apoyar a la oficina asesora de planeación en el monitoreo, sostenibilidad e implementación del sistema integrado de gestión y sus componentes.</t>
  </si>
  <si>
    <t>María 
Angelica Vasquez</t>
  </si>
  <si>
    <t>Prestación de servicios para apoyar la gestión administrativa a cargo de la Subdirección Académica.</t>
  </si>
  <si>
    <t>Hernan 
Dario Gutierrez</t>
  </si>
  <si>
    <t>Prestación de servicios profesionales para apoyar a la Oficina Asesora de Planeación, en el monitoreo , sostenibilidad e implementación de los sistemas informaticos del IDEP.</t>
  </si>
  <si>
    <t>Geysha Gladys Gerrero</t>
  </si>
  <si>
    <t>Prestación de servicios profesionales para apoyar la Oficina de Control Interno en el mantenimiento y evaluación del sistema de control interno.</t>
  </si>
  <si>
    <t>Diego Cubides</t>
  </si>
  <si>
    <t xml:space="preserve">Prestación de servicios profesionales para apoyar la  actualización, implementación  y desarrollo del Plan Institucional de Gestión ambiental PIGA  del Plan de Acción interno para el aprovechamiento eficiente de los reciduos (PAIR) y los subsistemas de  Seguridad y salud ocupacional (S&amp;SO) y gestión ambiental (SGA) del Instituto para la Investigación Educativa y el Desarrollo Pedagógico IDEP, de acuerdo a lo establecido para las normas vigente.    </t>
  </si>
  <si>
    <t>Heber
 Andres Sanchez</t>
  </si>
  <si>
    <t>Prestación de servicios profesionales como abogado para apoyar la revisión jurídica en el proceso de gestión documental contractual a cargo de la oficina jurídica.</t>
  </si>
  <si>
    <t>SALDO Prestación de servicios profesionales como abogado (a) para apoyar la gestión, actividades y trámites  que se encuentran a cargo de la oficina asesora jurídica.</t>
  </si>
  <si>
    <t>Irma Carmenza Chamorro</t>
  </si>
  <si>
    <t>Prestación de servicios profesionales como abogado (a) para apoyar la gestión, actividades y trámites  que se encuentran a cargo de la oficina asesora jurídica.</t>
  </si>
  <si>
    <t>Gustavo Salazar</t>
  </si>
  <si>
    <t>Implementación y sostenibilidad del Sistema Integrado de Gestión.</t>
  </si>
  <si>
    <t>Porcentaje  de implementación del Sistema Integrado de Gestión</t>
  </si>
  <si>
    <t xml:space="preserve">Realizar 25% de la implementacion y sostenibilidad del Sistema Integrado de Gestión </t>
  </si>
  <si>
    <t>GESTIÓN INSTITUCIONAL</t>
  </si>
  <si>
    <t>Proyecto 907</t>
  </si>
  <si>
    <t xml:space="preserve">TOTAL COMPONENTE DE COMUNICACIÓN, SOCIALIZACIÓN Y DIVULGACIÓN. </t>
  </si>
  <si>
    <t>Total Meta; Realizar una estrategia de Comunicación, Socialización y divulgación de los resultados de las investigaciones y sistematizaciones realizadas por el IDEP</t>
  </si>
  <si>
    <t>Abril</t>
  </si>
  <si>
    <t>Prestación de servicios  para el apoyo logístico, de comunicación, transporte y materiales para la realización de actividades propias de la estrategia de comunicación.</t>
  </si>
  <si>
    <t>SALDO   Prestación de servicios para el apoyo a la estrategia de comunicación en el marco del evento académico" IV Coloquio Latinoamericano de Biopolítica y II Coloquio Internacional de Biopolíticas y Educación.</t>
  </si>
  <si>
    <t>Plataforma de Comunicación</t>
  </si>
  <si>
    <t>Agosto</t>
  </si>
  <si>
    <t>Prestación de servicios para el apoyo a la estrategia de comunicación en el marco del evento académico" IV Coloquio Latinoamericano de Biopolítica y II Coloquio Internacional de Biopolíticas y Educación.</t>
  </si>
  <si>
    <t>Richard Romo</t>
  </si>
  <si>
    <t>Marzo</t>
  </si>
  <si>
    <t>Prestación de servicios profesionales para asistir  al componente de comunicación en la edición del Magazín Aula Urbaba,  la producción periodística y la comunicación institucional.</t>
  </si>
  <si>
    <t xml:space="preserve">Carlos Alexander Marroquin Moreno
</t>
  </si>
  <si>
    <t>Prestación de servicios profesionales para el diseño, diagramación y elaboración iconográfica de productos comunicativos  del IDEP</t>
  </si>
  <si>
    <t>María
 del Pilar Rubio</t>
  </si>
  <si>
    <t>Febrero</t>
  </si>
  <si>
    <t>Prestación de servicios profesionales para el desarrollo y diseño de acciones y productos de comunicación institucional  para la socialización,  promoción, difusión, posicionamiento y fortalecimiento institucional.</t>
  </si>
  <si>
    <t>Comunicación interna y externa</t>
  </si>
  <si>
    <t>AMCM GROUP S.A.S.</t>
  </si>
  <si>
    <t>Prestación de servicios para la suscripción por un año a las bases de datos Education Source,  ERIC®, the Education Resource Information Center y Fuente Académica ™ Premier con acceso esclusivo en el centro de Documentación del IDEP.</t>
  </si>
  <si>
    <t>Alveiro Tapias</t>
  </si>
  <si>
    <t>Directa</t>
  </si>
  <si>
    <t>Prestación de servicios profesionales para apoyar la gestión administrativa del componente Comunicación, Socialización y Divulgaciópn y el apoyo al seguimiento administrativo de la Subdirección General Académica.</t>
  </si>
  <si>
    <t>Selección abreviada</t>
  </si>
  <si>
    <t xml:space="preserve">Prestación de servicios  para la creación, alimentación y mantenimiento de un canal educativo digital </t>
  </si>
  <si>
    <t>Escuela
 Pais Ltda</t>
  </si>
  <si>
    <t xml:space="preserve">directa </t>
  </si>
  <si>
    <t>marzo</t>
  </si>
  <si>
    <t>Prestación de servicios para producir y emitir el Programa Aula Urbana Dial del Instituto para la Investigación Educativa y el Desarrollo Pedagógico IDEP</t>
  </si>
  <si>
    <t>Medios y Web</t>
  </si>
  <si>
    <t xml:space="preserve">SALDO Suministro de insumos  de impresión  para la realización de publicaciones del IDEP </t>
  </si>
  <si>
    <t>Grupo los lagos</t>
  </si>
  <si>
    <t xml:space="preserve"> Suministro de insumos  de impresión  para la realización de publicaciones del IDEP </t>
  </si>
  <si>
    <t>Prestación de servicios para la distribución de publicaciones del Instituto para la Investigación Educativa y el Desarrollo Pedagógico, IDEP</t>
  </si>
  <si>
    <t>RED POSTAL
 COLOMBIA LTDA</t>
  </si>
  <si>
    <t>Contratar la prestación de servicios para apoyar al IDEP en la definición y ejecución de la política editorial.</t>
  </si>
  <si>
    <t>Prestación de servicios profesionales para realizar la producción editorial de las publicaciones del IDEP.</t>
  </si>
  <si>
    <t>Corporación Editorial magisterio</t>
  </si>
  <si>
    <t>Prestación de servicios profesionales para realizar la edición de la revista Educación y Ciudad del Instituto para la Investigación Educativa y el Desarrollo Pedagógico, IDEP.</t>
  </si>
  <si>
    <t>Diana María Prada Romero</t>
  </si>
  <si>
    <t>Publicaciones</t>
  </si>
  <si>
    <t>Porcentaje de avance 
de la estrategia de comunicación</t>
  </si>
  <si>
    <t>Realizar una estrategia de Comunicación, Socialización y divulgación de los resultados de las investigaciones y sistematizaciones realizadas por el IDEP</t>
  </si>
  <si>
    <t>Realizar una estrategia de comunicación, socialización y divulgación</t>
  </si>
  <si>
    <t>COMUNICACIÓN, SOCIALIZACIÓN Y DIVULGACIÓN</t>
  </si>
  <si>
    <t>TOTAL COMPONENTE CUALIFICACIÓN DOCENTE</t>
  </si>
  <si>
    <t>Total Meta: Realizar el 20% del diseño Cualificación docente</t>
  </si>
  <si>
    <t>Carolina Maya</t>
  </si>
  <si>
    <t xml:space="preserve">junio </t>
  </si>
  <si>
    <t>Prestación de servicios profesionales para realizar el análisis de preferencias y expectativas de docentes y grupos  en la fase II del componente.</t>
  </si>
  <si>
    <t>Carlos Ernesto Valdivieso</t>
  </si>
  <si>
    <t>Prestación de servicios profesionales para realizar el análisis de contextos locales y medición de costos sociales y económicos de la satisfacción de necesidades en la fase II del componente</t>
  </si>
  <si>
    <t>Prestación de servicios profesionales para apoyar el diseño del componente de Cualificación Docente en su fase II desde el trabajo realizado con los Docentes .</t>
  </si>
  <si>
    <t>Prestación de servicios profesionales para apoyar el diseño del componente de Cualificación Docente en su fase II desde el trabajo realizado con estudiantes y padres de familia .</t>
  </si>
  <si>
    <t>Prestación de servicios  profesionales para realizar el diseño y edición de las piezas comunicativas del IDEP</t>
  </si>
  <si>
    <t>Corporaciópn Magisterio</t>
  </si>
  <si>
    <t>julio</t>
  </si>
  <si>
    <t>Aunar esfuerzos académicos didácticos y pedagógicos, técnicos y económicos para la realización y coordinación de eventos académicos del Idep, en cumplimiento del proyecto de inversión 702</t>
  </si>
  <si>
    <t>Aunar esfuerzos para apoyar experiencias de investigación dentro de la práctica educativa en los colegios oficiales de Bogotá</t>
  </si>
  <si>
    <t>+</t>
  </si>
  <si>
    <t>Jaime Parra</t>
  </si>
  <si>
    <t>Prestación de servicios profesionales para orientar el diseño del componente de cualificación docente en su fase II</t>
  </si>
  <si>
    <t>Alba Nelly Gutierrez Calvo</t>
  </si>
  <si>
    <t>Diseño del Componente Cualificación Docente</t>
  </si>
  <si>
    <t>Porcentaje de avance del diseño de Cualificación Docente.</t>
  </si>
  <si>
    <t>Realizar el 20% del diseño del Componente  Cualificación Docente</t>
  </si>
  <si>
    <t xml:space="preserve">Realizar el diseño del Componente </t>
  </si>
  <si>
    <t>Total Meta: Realizar una estrategia en Cualificación  Docente</t>
  </si>
  <si>
    <t>Andrea Sanchez</t>
  </si>
  <si>
    <t>77 de 2012</t>
  </si>
  <si>
    <t xml:space="preserve">Adición al contrato No. 077 de 2012 </t>
  </si>
  <si>
    <t>Prestación de servicios profesionales para elaboración de un documento conceptual y metodológico de la estrategia de cualificación</t>
  </si>
  <si>
    <t>OEI</t>
  </si>
  <si>
    <t>convenio</t>
  </si>
  <si>
    <t>Adición presupuestal convenio 090 de 2012</t>
  </si>
  <si>
    <t>Prestación de servicios profesionales para realizar la gestión administrativa y demás actividades de la estrategia del componente.</t>
  </si>
  <si>
    <t>Prestación de servicios para realizar el apoyo a la gestión administrativa y demás actividades de la estrategia del componente</t>
  </si>
  <si>
    <t>Corporación Magisterio</t>
  </si>
  <si>
    <t>directa convenio de asociación</t>
  </si>
  <si>
    <t xml:space="preserve">Aunar esfuerzos académicos, didácticos, pedagógicos, técnicos y económicos para la realización y coordinación de eventos académicos del idep, en cumplimiento del proyecto de inversión 702 </t>
  </si>
  <si>
    <t>Ana Lucia Florez (adición)</t>
  </si>
  <si>
    <t>Adición al contrato No. 014 de 2013</t>
  </si>
  <si>
    <t>Sandra Bustamante</t>
  </si>
  <si>
    <t>Prestación de servicios de apoyo a la gestión administrativa para las actividades del estudio Planes territoriales de formación, incentivos, impactos y alternativas de cualificación Docente en Bogotá.</t>
  </si>
  <si>
    <t>Prestación de servicios de apoyo logístico para la realización de las correspondientes actividades misionales</t>
  </si>
  <si>
    <t>saldo por recaurdar</t>
  </si>
  <si>
    <t>Prestación de servicios profesionales para diseñar las piezas comunicativas del Premio a la Investigación e innovación Educativa 2013.</t>
  </si>
  <si>
    <t>Estrategia del componente Cualificación Docente</t>
  </si>
  <si>
    <t>Porcentaje de avance de la Estrategia  Cualificación Docente.</t>
  </si>
  <si>
    <t xml:space="preserve"> Realizar una estrategia en Cualificación  Docente</t>
  </si>
  <si>
    <t>Realizar 5 estrategias en Cualificación Docente</t>
  </si>
  <si>
    <t>Total Meta: Desarrollar 1 estudio en Cualificación docente</t>
  </si>
  <si>
    <t>Universidad 
Nacional</t>
  </si>
  <si>
    <t>02/010/2013</t>
  </si>
  <si>
    <t>Adición al contrato No. 059 de 2013</t>
  </si>
  <si>
    <t>Prestación de servicios  para Desarrollar un curso-taller de escritura de textos académicos, en distintas localidades dirigido a docentes de colegios oficiales</t>
  </si>
  <si>
    <t>Adición al contrato No. 031 de 2013</t>
  </si>
  <si>
    <t>Liliana Lucia Caicedo</t>
  </si>
  <si>
    <t>Prestación de servicios profesionales para apoyar la coordinación académica y el seguimiento técnico y administrativo del estudio.</t>
  </si>
  <si>
    <t>Ana Lucia Florez</t>
  </si>
  <si>
    <t>Prestación de servicios profesionales para apoyar la gestión administrativa del estudio en articulación con el diseño y la estrategia del componente de cualificación docente.</t>
  </si>
  <si>
    <t>Claudia patricia Giraldo</t>
  </si>
  <si>
    <t xml:space="preserve">Prestación de servicios profesionales para apoyar en el análisis de las tendencias en política pública de desarrollo profesional docente en Bogotá. </t>
  </si>
  <si>
    <t>Yira Milena Gitierrez Casas</t>
  </si>
  <si>
    <t>Prestación de servicios para  administrar la encuesta digital de necesidades de desarrollo profesional docente en Bogotá</t>
  </si>
  <si>
    <t>Edición del documento final de las necesidades de formación docente</t>
  </si>
  <si>
    <t>grupo los lagos</t>
  </si>
  <si>
    <t>Suministro de insumos  de impresión  para la realización de publicaciones del IDEP</t>
  </si>
  <si>
    <t>Oscar Barrera</t>
  </si>
  <si>
    <t>Prestación de servicios profesionales para  la elaboración de modelos matemáticos de medición de necesidades de desarrollo profesional docente en Bogotá.</t>
  </si>
  <si>
    <t>Aunar esfuerzos académicos y logísticos para realizar un proceso de acompañamiento y sistematización de experiencias institucionales de reconocimiento de la diversidad en el sistema educativo (inclusión educativa)</t>
  </si>
  <si>
    <t>CINEP</t>
  </si>
  <si>
    <t>Prestación de servicios  para elaborar un estado de la cuestión en experiencias en temas de ruralidad y territorio realizadas en Bogotá y acompañar cinco experiencias de aula en temas de ruralidad y territorio en colegios distritales de Bogotá como estrategia de desarrollo profesional docente.</t>
  </si>
  <si>
    <t>Prestación de servicios para hacer el levantamiento de información sobre las necesidades de formación docente a través de una encuesta.</t>
  </si>
  <si>
    <t>Convenio interadministrativo</t>
  </si>
  <si>
    <r>
      <t xml:space="preserve">Aunar esfuerzos para  </t>
    </r>
    <r>
      <rPr>
        <sz val="10"/>
        <color indexed="63"/>
        <rFont val="Arial"/>
        <family val="2"/>
      </rPr>
      <t>apoyar experiencias de investigación dentro de la práctica educativa en los colegios oficiales de Bogotá.</t>
    </r>
  </si>
  <si>
    <t>María Elvira Rodriguez</t>
  </si>
  <si>
    <t>Prestación de servicios profesionales como co-investigador del “Estudio sobre los incentivos: balance y perspectivas de la política de incentivos en el Distrito Capital (1996-2013)”.</t>
  </si>
  <si>
    <t>Gladys Jaimes
 de Casa Diego</t>
  </si>
  <si>
    <t>Prestación de servicios profesionales como investigador principal para la orientación académica y metodológica  del “Estudio sobre los incentivos: balance y perspectivas de la política de incentivos en el Distrito Capital (1996-2013)”</t>
  </si>
  <si>
    <t xml:space="preserve">Prestación de servicios para realizar el análisis de los resultados de los  incentivos económicos reconocidos por la SED a los Docente durante el periodo 2004-2012.   </t>
  </si>
  <si>
    <t>Universidad 
Pedagógica</t>
  </si>
  <si>
    <t>Prestación de servicios  para  realizar un balance del Plan territorial de formación docente 2008  - 2012 y orientar la formulación de una propuesta para el nuevo plan</t>
  </si>
  <si>
    <t>Ruth Amanda Cortés-        Alba Nelly Gutierrez Calvo</t>
  </si>
  <si>
    <t>Planes territoriales de formación, incentivos, impactos y alternativas de cualificación docente en Bogotá</t>
  </si>
  <si>
    <t>Porcentaje de avance de los Estudios desarrollados
 en el componente de Cualificación  docente</t>
  </si>
  <si>
    <t>Desarrollar 1 estudio en Cualificación  Docente</t>
  </si>
  <si>
    <t>Desarrollar 4 estudios  en Cualificación docente</t>
  </si>
  <si>
    <t>PROYECTO NO. 702 Investigación e innovación para la construcción de conocimiento educativo y pedagógico.</t>
  </si>
  <si>
    <t>TOTAL COMPONENTE EDUCACIÓN Y POLITICA PUBLICA</t>
  </si>
  <si>
    <t>Total Meta: Realizar el 20% diseño del componente Educación y políticas públicas</t>
  </si>
  <si>
    <t>319-Aunar esfuerzos académicos, didácticos, pedagógicos, técnicos y económicos para la realización y coordinación de eventos académicos del IDEP, en cumplimiento del proyecto de inversión 702</t>
  </si>
  <si>
    <t>Sonia 
Esmeralda Rojas</t>
  </si>
  <si>
    <t>179-Prestación de servicios profesionales para el apoyo administrativo al diseño, a los estudios y demás actividades del componente Educación y políticas públicas.</t>
  </si>
  <si>
    <t>Omar Pulido</t>
  </si>
  <si>
    <t>178-Prestación de servicios profesionales para desarrollar los referentes conceptuales y las herramientas del diseño del componente Educación y políticas públicas.</t>
  </si>
  <si>
    <t>excedentes financieros</t>
  </si>
  <si>
    <t>Rafael Pabon</t>
  </si>
  <si>
    <t>Prestación de servicios profesionales para realizar el apoyo metodológico al diseño del componente Educación y políticas públicas.</t>
  </si>
  <si>
    <t>Fernando Antonio Rincon Trujillo</t>
  </si>
  <si>
    <t>Diseño del componente educación y políticas públicas</t>
  </si>
  <si>
    <t>Porcentaje de avance del Diseño del componente de Educación y Política pública</t>
  </si>
  <si>
    <t>Diseñar el 20% del Diseño del componente Educación y políticas Públics</t>
  </si>
  <si>
    <t>Total Meta:Estudios Educación y Política Pública</t>
  </si>
  <si>
    <t>UNIVERSIDAD NACIONAL</t>
  </si>
  <si>
    <t>Prestación de servicios de apoyo al trabajo de recolección, procesamiento, sistematización y análisis de la información de las actividades del componente de Educación y políticas Públicas.</t>
  </si>
  <si>
    <t>Prestación de servicios profesionales para la creación, desarrollo y operación de un aplicativo informático y la recolección, procesamiento y análisis de la información.</t>
  </si>
  <si>
    <t>Prestación de servicios para el desarrollo de una estrategia de participación, de diálogos ciudadanos y de distribución de materiales</t>
  </si>
  <si>
    <t xml:space="preserve">saldo Suministro de insumos  de impresión  para la realización de publicaciones del IDEP </t>
  </si>
  <si>
    <t xml:space="preserve">Suministro de insumos  de impresión  para la realización de publicaciones del IDEP </t>
  </si>
  <si>
    <r>
      <t xml:space="preserve">Prestación de servicios profesionales  para el apoyo </t>
    </r>
    <r>
      <rPr>
        <sz val="10"/>
        <color indexed="8"/>
        <rFont val="Arial"/>
        <family val="2"/>
      </rPr>
      <t>administrativo, documental y operativo del estudio</t>
    </r>
  </si>
  <si>
    <r>
      <t xml:space="preserve">Prestación de servicios profesionales  para el apoyo </t>
    </r>
    <r>
      <rPr>
        <sz val="10"/>
        <color indexed="8"/>
        <rFont val="Arial"/>
        <family val="2"/>
      </rPr>
      <t>en la organización y coordinación del trabajo de campo</t>
    </r>
  </si>
  <si>
    <t>Delvi Gomez</t>
  </si>
  <si>
    <r>
      <t xml:space="preserve">Prestación de servicios profesionales  para el apoyo a la elaboración de </t>
    </r>
    <r>
      <rPr>
        <sz val="10"/>
        <color indexed="8"/>
        <rFont val="Arial"/>
        <family val="2"/>
      </rPr>
      <t xml:space="preserve">referentes y productos conceptuales y metodológicos </t>
    </r>
    <r>
      <rPr>
        <sz val="10"/>
        <color indexed="8"/>
        <rFont val="Arial"/>
        <family val="2"/>
      </rPr>
      <t>del estudio de Monitoreo al Plan sectorial de Educación</t>
    </r>
  </si>
  <si>
    <t>Diego Hernan Garzón</t>
  </si>
  <si>
    <r>
      <t>Prestación de servicios profesionales  para el a</t>
    </r>
    <r>
      <rPr>
        <sz val="10"/>
        <color indexed="8"/>
        <rFont val="Arial"/>
        <family val="2"/>
      </rPr>
      <t>poyo en la elaboración de documentos e instrumentos de seguimiento técnico de política pública</t>
    </r>
    <r>
      <rPr>
        <sz val="10"/>
        <color indexed="8"/>
        <rFont val="Arial"/>
        <family val="2"/>
      </rPr>
      <t xml:space="preserve"> del estudio de Monitoreo al Plan sectorial de Educación</t>
    </r>
  </si>
  <si>
    <t>Luis Jaime Piñeros</t>
  </si>
  <si>
    <t>Prestación de servicios profesionales  para la orientación y coordinación general del estudio de Monitoreo al Plan sectorial de Educación</t>
  </si>
  <si>
    <t>Paulo Alberto Molina Bolivar</t>
  </si>
  <si>
    <t>Sistema de monitoreo al Plan Sectorial de Educación (fase 1)</t>
  </si>
  <si>
    <t>convenio 3199</t>
  </si>
  <si>
    <t>Adición No. 1 al contrato 042 del 2013</t>
  </si>
  <si>
    <t>convenio 3198</t>
  </si>
  <si>
    <t>Prestación de servicios de apoyo lógistico para la realización de las correspondientes actividades de construcción participativa previstas en el Plan de Trabajo del Convenio 3198-12 SED-IDEP.</t>
  </si>
  <si>
    <t>Fundación para el Fomento del trabajo el Desarrollo Humano</t>
  </si>
  <si>
    <t>Prestación de servicios para el apoyo a la gestión programación y montaje de una herramienta pedagógica virtual, para la inclusión de la perspectiva de género, el enfoque diferencial y derechos en las prácticas pedagógicas.</t>
  </si>
  <si>
    <t>Olga 
Lucia castillo</t>
  </si>
  <si>
    <t>Prestación de servicios para apoyar en metodologías cuantitativas y cualitativas la implementación del Convenio Interadministrativo No. 3198-12 celebrada entre la SED y el IDEP</t>
  </si>
  <si>
    <t>Nancy
 Prada Prada</t>
  </si>
  <si>
    <t>Prestación de servicio para apoyar técnica y metodológicamente al IDEP en la articulación de los componentes I,II,III del Convenio interadministrativo No. 3198-12 celebrado entre la SED y el IDEP</t>
  </si>
  <si>
    <t xml:space="preserve">Monica
 Lorenza Garzón              </t>
  </si>
  <si>
    <t>Prestación de servicios para apoyar a la Coordinación General del  Convenio 3198 de 2012, celebrado entre el IDEP y la SED; Genero y Educación: “Acciones para la transversalización  de la política de Genero en las dimensiones organizacional y pedagógica de la Secretaría de Educación de Bogotá”, en el seguimiento administrativo, financiero y de soporte documental de todo el proceso.</t>
  </si>
  <si>
    <t>Servicios profesionales para el diseño de base de datos, instrumentos en línea y aplicativos virtuales para la recolección de datos, construcción de bases de datos.  PARA COMPONENTES I, II y III</t>
  </si>
  <si>
    <t>Alejandra 
Quintana</t>
  </si>
  <si>
    <t>Prestación de Servicios profesionales para apoyar, desde la perspectiva de género, el diseño de un estudio para implementar un proceso de inclusión del enfoque de derechos y de Género en las prácticas pedagógicas regulares  y  con  enfoque diferencial (componente III) en el marco del convenio numero 3198 de 2012 celebrado entre el IDEP y la SED</t>
  </si>
  <si>
    <t>Luz Marina Leon</t>
  </si>
  <si>
    <t>Prestación de Servicios profesionales para apoyar, desde la perspectiva pedagógica, el diseño de un estudio para implementar un proceso de inclusión del enfoque de derechos y de Género en las prácticas pedagógicas regulares  y  con  enfoque diferencial (componente III) en el marco del convenio numero 3198 de 2012 celebrado entre el IDEP y la SED.</t>
  </si>
  <si>
    <t>Rosalba Ardila</t>
  </si>
  <si>
    <t xml:space="preserve">Prestación de servicios profesionales para la realización de trabajo documental, el diseño de instrumentos y la elaboración de informes de investigación del componente I del proyecto de Transversalización de Género en las direcciones locales de educación de la SED y en el IDEP, en lo atinente a las localidades, en el marco del Convenio número 3198 de 2012 celebrado entre el IDEP y la SED.  </t>
  </si>
  <si>
    <t>Diana
 Alexandra Riveros</t>
  </si>
  <si>
    <t xml:space="preserve">Prestación de servicios profesionales para la realización de trabajo documental, el diseño de instrumentos y la elaboración de informes de investigación del Componente I del proyecto de Transversalización de Género en el nivel central de la SED y en el IDEP en lo atinente al Distrito Capital, en el marco del Convenio número 3198 de 2012 celebrado entre el IDEP y la SED.  </t>
  </si>
  <si>
    <t>Sonia Alejandrina 
Castillo</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</si>
  <si>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cuantitativas, del proyecto de Transversalización de Género en la dimensión organizacional (componente II), en el marco del Convenio número 3198 de 2012 celebrado entre el IDEP y la SED.  </t>
  </si>
  <si>
    <t>María Himelda
 Ramirez</t>
  </si>
  <si>
    <t xml:space="preserve">Prestación de servicios profesionales para la realización de trabajo documental, el diseño de instrumentos, desarrollo trabajo de campo, el procesamiento, sistematización y análisis de información y la elaboración de informes de investigación con énfasis en el uso y aplicación de metodologías cualitativas, del proyecto de Transversalización de Género en la dimensión organizacional (componente II), en el marco del Convenio número 3198 de 2012 celebrado entre el IDEP y la SED.  </t>
  </si>
  <si>
    <t>Estudio general con desarrollos temáticos para el seguímiento y recomendaciones a la politica de Bogotá Humana en el marco del convenio 3198 de 2012 (actividad del 2012)</t>
  </si>
  <si>
    <t>Saldo Prestar apoyo logístico relacionado con papelería, multicopiado impreso y digital, transporte, comunicación y equipos y suministros para la  socialización de la caracterización de la experiencia piloto de jornada educativa de 40 horas en 26 colegios distritales</t>
  </si>
  <si>
    <t>COMPENSAR</t>
  </si>
  <si>
    <t>Prestar apoyo logístico relacionado con papelería, multicopiado impreso y digital, transporte, comunicación y equipos y suministros para la  socialización de la caracterización de la experiencia piloto de jornada educativa de 40 horas en 26 colegios distritales</t>
  </si>
  <si>
    <t>convenio 3302</t>
  </si>
  <si>
    <t>José 
Roberto Calcetero</t>
  </si>
  <si>
    <t>Prestación de servicios profesionales para realizar el trabajo de campo y la caracterización de los colegios distritales asignados por la coordinación, en la reconstrucción de la jornada educativa de cuarenta horas semanales de la experiencia piloto en Un (01) colegio de la localidad de Ciudad Bolívar, Tres (03) colegios de la localidad de Rafael Uribe Uribe, Tres (03) colegios de la localidad de Santa Fe y un (01) colegio de la localidad de Tunjuelito</t>
  </si>
  <si>
    <t>Luz 
Sney Cardozo</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</si>
  <si>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Fontibón, Un (01) colegio de la localidad de Bosa, Un (01) colegio de la localidad de Engativá, Cuatro  (04) colegio de la localidad de Suba y Un (01) colegio de la localidad de Usaquén.</t>
  </si>
  <si>
    <t>Luis
 Ignacio Rojas</t>
  </si>
  <si>
    <t>Prestación de servicios profesionales para realizar el trabajo de campo y la caracterización de los colegios distritales asignados por la coordinación, en la reconstrucción de la jornada educativa de cuarenta horas semanales de la experiencia piloto en Dos (02) colegios de la localidad de Barrios Unidos, Un (01) colegio de la localidad de Antonio Nariño, Un (01) colegio de la localidad de Chapinero, Un (01) colegio de la localidad de los Mártires, Dos (02) colegios de la localidad de Puente Aranda y Dos (02) colegios de la localidad de Teusaquillo</t>
  </si>
  <si>
    <t>Felipe Rodriguez</t>
  </si>
  <si>
    <t>Prestación de servicios profesionales para realizar el diseño, administración y actualización de una plataforma informática para la reconstrucción de la jornada educativa de cuarenta horas semanales y la caracterización de veintiséis colegios distritales.</t>
  </si>
  <si>
    <t>Luz Marina
 Ramirez</t>
  </si>
  <si>
    <t>Prestación de servicios profesionales para la identificación de las lecciones aprendidas respecto de las gestiones pedagógica e institucional de la ampliación de la jornada escolar a 40 horas semanales en 26 colegios distritales.</t>
  </si>
  <si>
    <t>Jorge Alberto Palacio Castañeda</t>
  </si>
  <si>
    <t>Jornada Educativa 40 horas Fase II en el marco del convenio 3302 de 2012 (Actividad del 2012)</t>
  </si>
  <si>
    <t>excedentes
 financieros</t>
  </si>
  <si>
    <t>SALDO    Prestación de servicios profesionales para realizar un estudio de caracterización y análisis sobre subjetividad y diversidad en espacios escolares</t>
  </si>
  <si>
    <t>Corporación Viva la Ciudadanía</t>
  </si>
  <si>
    <t>Prestación de servicios profesionales para realizar un estudio de caracterización y análisis sobre subjetividad y diversidad en espacios escolares</t>
  </si>
  <si>
    <t>Estudio sobre subjetividades y diversidad en la escuela</t>
  </si>
  <si>
    <t>JHONNATAN LINARES</t>
  </si>
  <si>
    <t>Prestación de servicios profesionales para el apoyo en la operación y actualización de los aplicativos informaticos necesarios para el desarrollo de los estudios del componente de Educación y Políticas Públicas.</t>
  </si>
  <si>
    <t>Grupo los Lagos</t>
  </si>
  <si>
    <t>Prestación de servicios para publicación y socialización de avances y resultados.</t>
  </si>
  <si>
    <t>Prestación de servicios para la creación, desarrollo y operación  de un aplicativo informático y la recolección, procesamiento y análisis de la información.</t>
  </si>
  <si>
    <t>Prestación de servicios profesionales para realizar un estudio temático sobre la política de implementación de la reorganización curricular por ciclos en los colegios distritales</t>
  </si>
  <si>
    <t>Edison Rafael castro</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</si>
  <si>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</si>
  <si>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Luis Ignacio Rojas</t>
  </si>
  <si>
    <t>Prestación de servicios profesionales en calidad de co-investigador(a)   para el desarrollo metodológico, de recolección y análisis de información  y de trabajo de campo en 6 localidades del Distrito Capital  en el estudio temático sobre  derechos humanos y ambientales en escolares de los ciclos III, IV y V</t>
  </si>
  <si>
    <t>Nadia
 Catalina Angel</t>
  </si>
  <si>
    <t>Prestación de servicios profesionales en calidad de co-investigador(a)   del Estudio General en temas relacionados con pedagogía, educación y organización escolar.</t>
  </si>
  <si>
    <t>Julian Moreno</t>
  </si>
  <si>
    <t>Prestación de servicios profesionales en calidad de co-investigador(a)   de apoyo conceptual y metodológico del estudio general en materia de políticas públicas y derechos humanos con el sector educativo de Bogotá.</t>
  </si>
  <si>
    <t>María del Pilar Gonzalez</t>
  </si>
  <si>
    <t xml:space="preserve">Adriana Londoño </t>
  </si>
  <si>
    <t>Prestación de servicios profesionales en calidad de investigador(a) principal del estudio temático sobre derechos humanos y ambientales en escolares de los ciclos III, IV y V</t>
  </si>
  <si>
    <t>Constanza
 Amesquita</t>
  </si>
  <si>
    <t>Prestación de servicios profesionales en calidad de investigador(a) principal del Estudio General con desarrollos temáticos para recomendaciones a la política educativa.</t>
  </si>
  <si>
    <t>Estudio General con desarrollos temáticos para recomendaciones a la política educativa</t>
  </si>
  <si>
    <t xml:space="preserve"> Fundación 
Universidad Central</t>
  </si>
  <si>
    <t>Convenio por Asociación</t>
  </si>
  <si>
    <r>
      <t xml:space="preserve">Aunar esfuerzos para realizar un estado del arte sobre el campo de conocimiento relacionado con </t>
    </r>
    <r>
      <rPr>
        <i/>
        <sz val="10"/>
        <color indexed="8"/>
        <rFont val="Arial"/>
        <family val="2"/>
      </rPr>
      <t>Cuerpo y Subjetividad</t>
    </r>
    <r>
      <rPr>
        <sz val="10"/>
        <color indexed="8"/>
        <rFont val="Arial"/>
        <family val="2"/>
      </rPr>
      <t xml:space="preserve"> en las dos últimas décadas en Colombia, que permita aportar elementos de comprensión sobre los procesos de subjetivación y las diversas formas de expresión de los y las estudiantes en </t>
    </r>
    <r>
      <rPr>
        <sz val="10"/>
        <color indexed="8"/>
        <rFont val="Calibri"/>
        <family val="2"/>
      </rPr>
      <t> </t>
    </r>
    <r>
      <rPr>
        <sz val="10"/>
        <color indexed="8"/>
        <rFont val="Arial"/>
        <family val="2"/>
      </rPr>
      <t>las instituciones educativas de Bogotá</t>
    </r>
  </si>
  <si>
    <t>Corporeidad y subjetividad en la escuela (ámbito Subjetividad)</t>
  </si>
  <si>
    <t>Porcentaje de avance de los Estudios desarrollados en Educación y Políticas Públicas.</t>
  </si>
  <si>
    <t>Desarrollar 4 estudios en Educación y Políticas Públicas</t>
  </si>
  <si>
    <t>Desarrollar 16 estudios  en Educación y Políticas Públicas</t>
  </si>
  <si>
    <t>EDUCACIÓN Y POLÍTICAS PÚBLICAS</t>
  </si>
  <si>
    <t>TOTAL COMPONENTE ESCUELA CURRICULO Y PEDAGOGÍA</t>
  </si>
  <si>
    <t>Total Meta: Realizar el 20% del diseño del componente Escuela, Currículo y pedagogía</t>
  </si>
  <si>
    <t xml:space="preserve">abril </t>
  </si>
  <si>
    <t>Aunar esfuerzos académicos, didacticos, pedagogicos, técnicos y económicos para la realización y coordinación de eventos académicos del IDEP, en cumplimiento del proyecto de inversión 702</t>
  </si>
  <si>
    <t>Diana
 Cristina Ballen</t>
  </si>
  <si>
    <t xml:space="preserve">Prestación de servicios profesionales para el apoyo administrativo al diseño, a los estudios y demás actividades del componente  Escuela, Currículo y pedagogía </t>
  </si>
  <si>
    <t>excedente
s financieros</t>
  </si>
  <si>
    <t>Luis Torres</t>
  </si>
  <si>
    <t>Prestación de servicios profesionales  para apoyar como co-investigador(a) la segunda fase del diseño  del componente de Escuela, Currículo y Pedagogía para la caracterización  de la ciudad desde indicadores socio-demográficos.</t>
  </si>
  <si>
    <t>Jorge Medellin</t>
  </si>
  <si>
    <t>Prestación de servicios profesionales para orientar la segunda fase del diseño del componente de Escuela Curriculo y Pedagogía</t>
  </si>
  <si>
    <t>Jorge Orlando Castro Villarraga.</t>
  </si>
  <si>
    <t xml:space="preserve">Diseño del componente Escuela, Currículo y pedagogía </t>
  </si>
  <si>
    <t>Porcentaje de avance del diseño del Componente  Escuela Curriculo y Pedagogía</t>
  </si>
  <si>
    <t>Realizar el 20% del diseño del Componente  Escuela Curriculo y Pedagogía</t>
  </si>
  <si>
    <t>Realizar el diseño del Componente Escuela, Curriculo y pedagogía</t>
  </si>
  <si>
    <t>Total Meta: Estudios en Escuela Curriculo y pedagogía</t>
  </si>
  <si>
    <t>Compraventa de puntos ecológicos para la clasificación de los residuos en cumplimiento a las obligaciones del convenio interadministrativo 2570 del 30 de mayo de 2012 entre el Instituto para la investigación Educativa y el Desarrollo Pedagogico -IDEP y la Secretaría de Educación del Distrito Capital SED.</t>
  </si>
  <si>
    <t>Soluciones Ancla</t>
  </si>
  <si>
    <t>Mínima
 Cuantía</t>
  </si>
  <si>
    <t>Compraventa de equipos de cocina tipo industrial, en cumplimiento de las obligaciones del convenio interadministrativo 2570 del 30 de mayo de 2012 entre el Instituto para la investigación Educativa y el Desarrollo Pedagogico -IDEP y la Secretaría de Educación del Distrito Capital SED.</t>
  </si>
  <si>
    <t>Eco Clean Foof</t>
  </si>
  <si>
    <t>Compraventa de Gimnasio al aire libre, para dar cumplimiento a las obligaciones del convenio interadministrativo 2570 del 30 de mayo de 2012 entre el Instituto para la investigación Educativa y el Desarrollo Pedagogico -IDEP y la Secretaría de Educación del Distrito Capital SED.</t>
  </si>
  <si>
    <t>Haute Ltda</t>
  </si>
  <si>
    <t>SALDO 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</si>
  <si>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FERRETERIA MAKROINSUMOS S.A.S</t>
  </si>
  <si>
    <t>Compraventa de tejas en polipropileno, caballetes y amarres para dar cumplimineto a las obligaciones del convenio interadministrativo 2570 del 30 de mayo de 2012 entre el Instituto para la Investigación Educativa y el Desarrollo Pedagogico -IDEP y la Secretaría de Educación del Distrito Capital-SED</t>
  </si>
  <si>
    <t>SALDO 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</si>
  <si>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Sonido Dmarca Ltda</t>
  </si>
  <si>
    <t>Julio</t>
  </si>
  <si>
    <t>Compraventa de elementos de sonido, en cumplimiento de las obligaciones del convenio interadministrativo 2570 del 30 de mayo de 2012 entre el Instituto para la Investigación Educativa y el Desarrollo Pedagogico -IDEP y la Secretaría de Educación del Distrito Capital-SED</t>
  </si>
  <si>
    <t>SALDO 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</si>
  <si>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ojo revisar contrato</t>
  </si>
  <si>
    <t>LA GRAN PAPELERA</t>
  </si>
  <si>
    <t>Suministro de papeleria, útiles de escritorio, artículos de oficinas del Instituto para la Investigación Educativa y el Desarrollo Pedagógico-IDEP y el cumplimineto de las obligaciones del convenio interadministrativo 2570 del 30 de mayo de 2012 entre el Instituto para la Investigación Educativa y el Desarrollo Pedagogico -IDEP y la Secretaría de Educación del Distrito Capital-SED</t>
  </si>
  <si>
    <t>SALDO 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</si>
  <si>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COLTECH S.A.S</t>
  </si>
  <si>
    <t>Compraventa de muro de escalar para dar cumplimiento a las obligaciones del convenio interadministrativo 2570 del 30 de mayo de 2012 entre el Instituto para la Investigación Educativa y el Desarrollo Pedagogico -IDEP y la Secretaría de Educación del Distrito Capital-SED</t>
  </si>
  <si>
    <t>SALDO 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</si>
  <si>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minima cuantia</t>
  </si>
  <si>
    <t>Compraventa  elementos de Ferreteria y Jardinería, en cumplimiento de las obligaciones del convenio interadministrativo 2570 del 30 de mayo de 2012 suscrito entre el Instituto para la Investigación Educativa y el Desarrollo Pedagógico IDEP y la Secretaría de Educación del Distrito Capital SED</t>
  </si>
  <si>
    <t>Compraventa de guadua, en cumplimiento  de las  obligaciones del convenio interadministrativo 2570 del 30 de mayo de 2012 entre el Instituto para la Investigación Educativa y el Desarrollo Pedagógico- IDEP y la Secretaría de Educación del Distrito Capital - SED</t>
  </si>
  <si>
    <t>ARME IDEAS EN GUADUA LTDA</t>
  </si>
  <si>
    <t>Compraventa de equipos  electrodomésticos, para dar cumplimiento  de las  obligaciones del convenio interadministrativo 2570 del 30 de mayo de 2012 entre el Instituto para la Investigación Educativa y el Desarrollo Pedagógico- IDEP y la Secretaría de Educación del Distrito Capital - SED</t>
  </si>
  <si>
    <t>Jesús gomez</t>
  </si>
  <si>
    <t>SALDO 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</si>
  <si>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Rodrigo Cortez</t>
  </si>
  <si>
    <t>Compraventa de láminas en polietileno en cumplimiento a las obligaciones del convenio interadministrativo 2570 del 30 de mayo de 2012 entre el Instituto para la Investigación Educativa y el Desarrollo Pedagógico- IDEP y la Secretaría de Educación del Distrito Capital - SED</t>
  </si>
  <si>
    <t>Suministro de materiales para el desarrollo del proyecto de ciencia y tecnología en la localidad de Usaquén.</t>
  </si>
  <si>
    <t>convenio 2570</t>
  </si>
  <si>
    <t>116 convenio</t>
  </si>
  <si>
    <t>Adición al Convenio de Asociación No. 116 de 2012</t>
  </si>
  <si>
    <t>SALDO 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</si>
  <si>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Compraventa e instalación de equipos de infraestructura tecnológica para la operación del IDEP y para el cumplimiento de las obligaciones del Convenio Interinstitucional 2570 del 30 de mayo de 2012 suscrito entre el Instituto para la Investigación Educativa y el Desarrollo Pedagógico – IDEP y la Secretaria de Educación del Distrito Capital –SED.</t>
  </si>
  <si>
    <t>Prestación de servicios para realizar la divulgación y extensión correspondientes a las actividades del proyecto de ciencia y tecnología en la localidad de Usaquén.</t>
  </si>
  <si>
    <t>Excedentes 
financieros</t>
  </si>
  <si>
    <t>Suministro de insumos de impresión para la realización de publicaciones del IDEP</t>
  </si>
  <si>
    <t>Prestación de servicios profesionales para corrección de estilo, la edición, diseño y producción de un documento publicable en formato digital</t>
  </si>
  <si>
    <t>Proyecto de ciencia y tecnología en la localidad de Usaquen  Convenio 2570 del 2012 (actividad del año 2012</t>
  </si>
  <si>
    <t>UNIVERSIDAD DISTRITAL</t>
  </si>
  <si>
    <t>Junio</t>
  </si>
  <si>
    <t xml:space="preserve"> Prestación de servicios  para realizar un estudio sobre experiencias significativas de saberes tecno-mediados de niños, niñas, jovenes y maestros en colegios que hagan parte del sistema educativo oficial distrital a desarrollarsedurante los años 2013 y 2014</t>
  </si>
  <si>
    <t xml:space="preserve"> Saberes Tecno-mediados en niños, niñas, jovenes y maestros</t>
  </si>
  <si>
    <t>Juan Sebastian Ruiz</t>
  </si>
  <si>
    <t>Prestación de servicios profesionales para realizar el análisis y procesamiento de textos históricos del campo educativo y pedagógico para su publicación digital en el Centro Virtual de Memoria en educaión y Pedagogía CVMEP.</t>
  </si>
  <si>
    <t>Rosa Evelyn Avella</t>
  </si>
  <si>
    <t>Prestación de servicios profesionales para apoyar como co-investigador(a) la segunda fase  del diseño del componente  de Escuela, Currículo y Pedagogía para la caracterización  de la escuela  desde el análisis  de la normatividad vigente .</t>
  </si>
  <si>
    <t>Universidad javeriana</t>
  </si>
  <si>
    <t>Prestación de servicios para realizar un estudio sobre proyectos y/o experiencias significativas de saberes en la temática"arte y corporeidad" en por lo menos 10 instituciones educativas que hagan parte del sistema educativo oficial distrital, acompanando el diseño y ejecución de los proyectos de investigación que recojan las experiencias de las instituciones en la temática.</t>
  </si>
  <si>
    <t>Saira Benitez</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</si>
  <si>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“experiencia pedagógica-maestros-escuela” en los años 2011 a 2013</t>
  </si>
  <si>
    <t>Antonio Vargas</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</si>
  <si>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“lenguaje y escuela” en los años 2011 a 2013</t>
  </si>
  <si>
    <t>Ana Cristina Leon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</si>
  <si>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“comunicación-educación” entre los años 2011 y 2013.</t>
  </si>
  <si>
    <t>Sonia Patricia Urazan</t>
  </si>
  <si>
    <t>Prestación de Servicios profesionales como coinvestigador(a) para realizar el acompañamiento a 3 proyectos y/o experiencias significativas en saberes sobre la temática lenguajes y comunicación desarrolladas en instituciones educativas del Distrito Capital y producción de un balance documental sobre estudios que aborden la relación  “comunicación-medios-escuela” en los años 2011 a 2013.</t>
  </si>
  <si>
    <t>Martha Elena Marino</t>
  </si>
  <si>
    <t>Prestación de servicios profesionales como auxiliar de investigación del estudio Saberes sobre la temática Lenguajes y comunicación</t>
  </si>
  <si>
    <t>David rubio</t>
  </si>
  <si>
    <t>Prestación de Servicios profesionales como Investigador Principal para la orientación conceptual y metodológica del estudio sobre Saberes en la temática Lenguajes y Comunicación.</t>
  </si>
  <si>
    <t>Prestación de Servicios de persona natural o juridica con experiencia en trabajos en las áreas de lenguaje y comunicación</t>
  </si>
  <si>
    <t>Jorge Tadeo</t>
  </si>
  <si>
    <t>Prestación de servicios profesionales para orientar académicamente el estudio de saberes en arte y corporeidad</t>
  </si>
  <si>
    <t>Dora Lilia Marin</t>
  </si>
  <si>
    <t>Prestación de servicios profesionales para orientar académicamente el estudio de saberes en lenguajes y comunicación</t>
  </si>
  <si>
    <t xml:space="preserve">Construcción de saberes en la escuela </t>
  </si>
  <si>
    <t>excedentes 
financieros</t>
  </si>
  <si>
    <t>Aunar esfuerzos académicos, didácticos, pedagógicos, técnicos y económicos para la realización y coordinación de eventos académicos del idep, en cumplimiento del proyecto de inversión 702</t>
  </si>
  <si>
    <t>Yira Gutierrez</t>
  </si>
  <si>
    <t>Prestación de servicios profesionales para apoyar el desarrollo de los  proyectos: “Valoración y Abordaje de procesos de desarrollo, Aprendizaje y sus Dificultades – fase: abordaje pedagógico”  e "Investigaciones e Innovaciones" en incorporación pedagógica  e investigativa de las TIC.</t>
  </si>
  <si>
    <t>Claudia Carrillo</t>
  </si>
  <si>
    <t>Prestación de Servicios profesionales para acompañar la realización del proyecto "Investigaciones e Innovaciones" en el eje de Innovación.</t>
  </si>
  <si>
    <t>Nadia Hernandez</t>
  </si>
  <si>
    <t>Prestación de Servicios profesionales para acompañar la realización del proyecto “Investigaciones e Innovaciones”, en el eje de Investigación.</t>
  </si>
  <si>
    <t>Fanny Blandon</t>
  </si>
  <si>
    <t>Prestación de Servicios profesionales para orientar y liderar el proyecto “Investigaciones e innovaciones”</t>
  </si>
  <si>
    <t>Andrea Bustamante Ramirez</t>
  </si>
  <si>
    <t>Investigaciones e innovaciones</t>
  </si>
  <si>
    <t>Matha Caro</t>
  </si>
  <si>
    <t>Prestación de servicios parar apoyar el trabajo de campo del proyecto: “Valoración y Abordaje de procesos de desarrollo, aprendizaje y sus dificultades – fase: abordaje pedagógico en la zona 2</t>
  </si>
  <si>
    <t>María jimena Diaz</t>
  </si>
  <si>
    <t>Prestación de servicios parar apoyar el trabajo de campo del proyecto: “Valoración y Abordaje de procesos de desarrollo, aprendizaje y sus dificultades – fase: abordaje pedagógico en la zona 1</t>
  </si>
  <si>
    <t>Prestación de servicios profesionales para apoyar el desarrollo de los  proyectos: “Valoración y Abordaje de procesos de desarrollo, Aprendizaje y sus Dificultades – fase: abordaje pedagógico” y e "Investigaciones e Innovaciones" en incorporación pedagógica  e investigativa de las TIC.</t>
  </si>
  <si>
    <t>Luz 
Clemencia Albarracin</t>
  </si>
  <si>
    <t>Prestación de servicios profesionales para acompañar el desarrollo del proyecto: “Valoración y Abordaje de procesos de desarrollo, aprendizaje y sus dificultades – fase: abordaje pedagógico”, desde el área de procesos  psicoafectivos y emocionales.</t>
  </si>
  <si>
    <t>Geidy 
Maritza Ortiz</t>
  </si>
  <si>
    <t>Prestación de servicios profesionales para acompañar el desarrollo del proyecto: “Valoración y Abordaje de procesos de desarrollo, aprendizaje y sus dificultades – fase: abordaje pedagógico”, desde el área de procesos cognoscitivos y factores neuropsicológicos que intervienen en el aprendizaje.</t>
  </si>
  <si>
    <t>Jenny
 Rocio Leon Canro</t>
  </si>
  <si>
    <t>Prestación de servicios profesionales para acompañar el desarrollo del proyecto: “Valoración y Abordaje de procesos de desarrollo, aprendizaje y sus dificultades – fase: abordaje pedagógico”, desde el área de lenguaje y desarrollo psicomotriz</t>
  </si>
  <si>
    <t>Liced Zea</t>
  </si>
  <si>
    <t>Prestación de servicios profesionales para acompañar el desarrollo del proyecto: “Valoración y Abordaje de procesos de desarrollo, aprendizaje y sus dificultades – fase: abordaje pedagógico”, desde el área de desarrollo de pensamiento lógico-matemático</t>
  </si>
  <si>
    <t>Yolanda 
Blanco carrillo</t>
  </si>
  <si>
    <t>Prestación de servicios profesionales para orientar y liderar el desarrollo del proyecto: “Valoración y Abordaje de procesos de desarrollo, aprendizaje y sus dificultades – fase: abordaje pedagógico”, dando línea conceptual, metodológica  y de gestión al equipo de investigación.</t>
  </si>
  <si>
    <t>Luisa Fernanda Acuña Beltran</t>
  </si>
  <si>
    <t>Valoración y Abordaje de procesos de desarrollo, aprendizaje y sus dificultades</t>
  </si>
  <si>
    <t>Blas Castro</t>
  </si>
  <si>
    <t>Prestación de servicios para realizar la asistencia al componente investigativo y de sistematización del proyecto: “Valoración y Abordaje de procesos de desarrollo, aprendizaje y sus dificultades”, en el levantamiento de los registros audiovisuales, requeridos en el desarrollo del mismo</t>
  </si>
  <si>
    <t>Gladys Amaya</t>
  </si>
  <si>
    <t>Prestación se servicios profesionales para realizar la sistematización del proyecto denominado: “Valoración y Abordaje de procesos de desarrollo, aprendizaje y sus dificultades, en sus diferentes fases</t>
  </si>
  <si>
    <t>Sistematización</t>
  </si>
  <si>
    <t>Universidad 
Distrital Fco Jose de Caldas</t>
  </si>
  <si>
    <t>Aunar  esfuerzos para realizar una investigación en organización y gestión escolar</t>
  </si>
  <si>
    <t>Organización y gestión escolar .</t>
  </si>
  <si>
    <t>Aunar esfuerzos y recursos para formular, de manera participativa con doentes de colegios oficiales de Bogotá y otras regiones del pais, el programa para la convivencia escolar UAQUE</t>
  </si>
  <si>
    <t>Prestación de servicios profesionales de apoyo a las actividades investigativas a desarrollar en el proyecto Convivencia escolar.</t>
  </si>
  <si>
    <t>Prestación de servicios profesionales de apoyo a las actividades de tipo ambiental a desarrollar en el proyecto Convivencia escolar</t>
  </si>
  <si>
    <t>Prestación de servicios profesionales para orientar, acompañar y revisar las actividades investigativas a desarrollar en el proyecto Convivencia escolar</t>
  </si>
  <si>
    <t xml:space="preserve">Ruth Amanda Cortés Salcedo      </t>
  </si>
  <si>
    <t>Convivencia escolar.</t>
  </si>
  <si>
    <t>Porcentaje de avance de los Estudios desarrollados en Escuela, currículo y pedagogía.</t>
  </si>
  <si>
    <t>Desarrollar 7 estudios en Escuela Curriculo y Pedagogía en el año 2013 y terminar el 0,80% del estudio del año 2012.</t>
  </si>
  <si>
    <t>Desarrollar 23 estudios 
en Escuela, currículo y pedagogía</t>
  </si>
  <si>
    <t>ESCUELA, CURRICULO Y PEDAOGÍA</t>
  </si>
  <si>
    <t>Proyecto No. 702 : Investigación e innovación para la construcción de conocimiento educativo y pedagógico.</t>
  </si>
  <si>
    <t xml:space="preserve">RECURSOS DE LA VIGENCIA </t>
  </si>
  <si>
    <t>RESERVAS</t>
  </si>
  <si>
    <t>FONDOS DESTINACION ESPECIFICA</t>
  </si>
  <si>
    <t>RECURSOS
PROPIOS</t>
  </si>
  <si>
    <t xml:space="preserve">Modalidad </t>
  </si>
  <si>
    <t>Duración</t>
  </si>
  <si>
    <t>Inicio</t>
  </si>
  <si>
    <t>VALOR PENDIENTE DE PAGO A 17/12/2013</t>
  </si>
  <si>
    <t>PENDIENTE DE EJECUTAR A 17/12/2013</t>
  </si>
  <si>
    <t>Total
 comprometido excedentes financieros</t>
  </si>
  <si>
    <t>Total
Excedentes
 financieros</t>
  </si>
  <si>
    <t>RUBROS</t>
  </si>
  <si>
    <t>Porcentaje
de ejecución</t>
  </si>
  <si>
    <t>Nombre del Contratista</t>
  </si>
  <si>
    <t>No. Contrato</t>
  </si>
  <si>
    <t>Fecha Contrato</t>
  </si>
  <si>
    <t>RECURSOS 
PROPIOS</t>
  </si>
  <si>
    <t>TRANSF.</t>
  </si>
  <si>
    <t>CONTRATO</t>
  </si>
  <si>
    <t>Viabilildad Expedida</t>
  </si>
  <si>
    <t>Responsable</t>
  </si>
  <si>
    <t>Indicadores</t>
  </si>
  <si>
    <t>METAS 2013</t>
  </si>
  <si>
    <t>Metas Plan de Desarrollo 2002-2016</t>
  </si>
  <si>
    <r>
      <t xml:space="preserve">Proyecto Prioritario No. 235: </t>
    </r>
    <r>
      <rPr>
        <sz val="10"/>
        <color indexed="8"/>
        <rFont val="Arial"/>
        <family val="2"/>
      </rPr>
      <t>Sistemas de mejoramiento de la gestión y de la capacidad operativa de las entidades.</t>
    </r>
  </si>
  <si>
    <r>
      <t>Programa:</t>
    </r>
    <r>
      <rPr>
        <sz val="10"/>
        <color indexed="8"/>
        <rFont val="Arial"/>
        <family val="2"/>
      </rPr>
      <t xml:space="preserve"> Fortalecimiento de la función administrativa y desarrollo institucional.</t>
    </r>
  </si>
  <si>
    <r>
      <t xml:space="preserve">Objetivo estratégico: </t>
    </r>
    <r>
      <rPr>
        <sz val="10"/>
        <color indexed="8"/>
        <rFont val="Arial"/>
        <family val="2"/>
      </rPr>
      <t>Una Bogotá que defiende y fortalece lo público.</t>
    </r>
  </si>
  <si>
    <r>
      <t>Proyecto No. 907:</t>
    </r>
    <r>
      <rPr>
        <sz val="10"/>
        <color indexed="8"/>
        <rFont val="Arial"/>
        <family val="2"/>
      </rPr>
      <t xml:space="preserve"> Fortalecimiento Institucional.</t>
    </r>
  </si>
  <si>
    <r>
      <t xml:space="preserve">Proyecto Prioritario No. 117: </t>
    </r>
    <r>
      <rPr>
        <sz val="10"/>
        <color indexed="8"/>
        <rFont val="Arial"/>
        <family val="2"/>
      </rPr>
      <t xml:space="preserve">Fortalecimiento de las instituciones educativas con empoderamiento ciudadano, docente y mejoramiento de la gestión sectorial. </t>
    </r>
  </si>
  <si>
    <r>
      <t>Programa:</t>
    </r>
    <r>
      <rPr>
        <sz val="10"/>
        <color indexed="8"/>
        <rFont val="Arial"/>
        <family val="2"/>
      </rPr>
      <t xml:space="preserve"> Construcción de saberes. Educación incluyente, diversa y de calidad para disfrutar y aprender.</t>
    </r>
  </si>
  <si>
    <r>
      <t>Objetivo estratégico</t>
    </r>
    <r>
      <rPr>
        <sz val="10"/>
        <color indexed="8"/>
        <rFont val="Arial"/>
        <family val="2"/>
      </rPr>
      <t>: Una ciudad que supera la segregación: el ser humano en el centro de las preocupaciones del desarrollo</t>
    </r>
    <r>
      <rPr>
        <i/>
        <sz val="10"/>
        <color indexed="8"/>
        <rFont val="Arial"/>
        <family val="2"/>
      </rPr>
      <t>.</t>
    </r>
  </si>
  <si>
    <r>
      <t>Proyecto No. 702 :</t>
    </r>
    <r>
      <rPr>
        <sz val="10"/>
        <color indexed="8"/>
        <rFont val="Arial"/>
        <family val="2"/>
      </rPr>
      <t xml:space="preserve"> Investigación e innovación para la construcción de conocimiento educativo y pedagógico.</t>
    </r>
  </si>
  <si>
    <t>Paginas:</t>
  </si>
  <si>
    <t>Versión: 1</t>
  </si>
  <si>
    <t>Código:  FT-PE-01-01</t>
  </si>
  <si>
    <t>PLAN DE COMPRAS AÑO 2013</t>
  </si>
  <si>
    <t>Total Actividad</t>
  </si>
  <si>
    <t>Proyecto  No. 1039</t>
  </si>
  <si>
    <t xml:space="preserve">Jefe Oficina Asesora de Planeación </t>
  </si>
  <si>
    <t>Sostener 100% la implementación del Sistema Integrado de Gestión</t>
  </si>
  <si>
    <t>Realizar once (11) Estudios en Escuela currículo y pedagogía, Educación y políticas públicas y Cualificación docente del componente de cualificación, investigación e innovación docente: Comunidades de saber y de práctica pedagógica.</t>
  </si>
  <si>
    <t>Realizar (13) Estudios en Escuela currículo y pedagogía, Educación y políticas públicas y Cualificación docente</t>
  </si>
  <si>
    <t xml:space="preserve">Desarrollar una  (1) estrategia de comunicación, socialización y divulgación de la cualificación, investigación e innovación docente: Comunidades de saber y de práctica </t>
  </si>
  <si>
    <t>Sostenibilidad del SIG en el ámbito de los subsistemas de Calidad, Control Interno, Seguridad de la Información y Gestión Documental y Archivo</t>
  </si>
  <si>
    <t>Sostenibilidad del SIG en el ámbito de los Subsistemas de la Gestión Ambiental , Seguridad y salud en el trabajo, y la Responsabilidad Social</t>
  </si>
  <si>
    <t>Desarrollar una (1) estrategia de Comunicación, socialización y divulgación: Componente 1</t>
  </si>
  <si>
    <t>Realizar cinco (5) estudios Sistema de seguimiento a la política educativa distrital en los contextos escolares.</t>
  </si>
  <si>
    <t>Componente No.1 "Sistema de Seguimiento a la política educativa distrital en los contextos escolares."</t>
  </si>
  <si>
    <t>113 Bogotá reconoce a sus maestras, maestros y directivos docentes.</t>
  </si>
  <si>
    <t>Sostenibilidad del   Sistema Integrado de Gestión</t>
  </si>
  <si>
    <t>Código: FT-DIP- 02-02</t>
  </si>
  <si>
    <t xml:space="preserve">Plan Distrital de Desarrollo </t>
  </si>
  <si>
    <t>"Bogotá Mejor para Todos". 2016-2020</t>
  </si>
  <si>
    <t>Proyecto  de Inversión No.</t>
  </si>
  <si>
    <t>1079  Investigación e innovación para el fortalecimiento de las comunidades de saber y práctica pedagógica.</t>
  </si>
  <si>
    <t>Pilar / Eje</t>
  </si>
  <si>
    <t>01 Igualdad de Calidad de Vida</t>
  </si>
  <si>
    <t xml:space="preserve">Programa </t>
  </si>
  <si>
    <t>06 Calidad educativa para todos</t>
  </si>
  <si>
    <t>Proyecto Estratégico Plan de Desarrollo</t>
  </si>
  <si>
    <t>Metas de resultado Plan de Desarrollo</t>
  </si>
  <si>
    <t>Componente del proyecto de Inversión</t>
  </si>
  <si>
    <t>Metas Proyecto del 2016 AL 2020</t>
  </si>
  <si>
    <t>Códigos</t>
  </si>
  <si>
    <t>PROGRAMACIÓN CONTRATO</t>
  </si>
  <si>
    <t xml:space="preserve">Total Actividad </t>
  </si>
  <si>
    <t xml:space="preserve">TOTAL META </t>
  </si>
  <si>
    <t>Realizar un (1) estudio Sistema de seguimiento a la política educativa distrital en los contextos escolares.</t>
  </si>
  <si>
    <t>TOTAL META</t>
  </si>
  <si>
    <t>Realizar cinco (5) estudios de la Estrategia de cualificación, investigación e innovación docente: comunidades de saber y de práctica pedagógica"</t>
  </si>
  <si>
    <t xml:space="preserve"> Realizar un (1) estudio de la  Estrategia de cualificación, investigación e innovación docente: comunidades de saber y de práctica pedagógica</t>
  </si>
  <si>
    <t>TOTAL PROYECTO DE INVERSIÓN No. 1079 Investigación e innovación para el fortalecimiento de las comunidades de saber y práctica pedagógica.</t>
  </si>
  <si>
    <t>7  Eje Transversal Gobierno legítimo, fortalecimiento local y eficiencia</t>
  </si>
  <si>
    <t>42 Transparencia, Gestión Pública y Servicio a la Ciudadanía</t>
  </si>
  <si>
    <t>Proyecto Estratégico</t>
  </si>
  <si>
    <t>184 Fortalecimiento de la gestión educativa institucional</t>
  </si>
  <si>
    <t>Codido 419
Sostener en el 100% la implementación del Sistema Integrado de Gestión</t>
  </si>
  <si>
    <t>Sostenibilidad del Sistema Integrado de Gestión</t>
  </si>
  <si>
    <t>TOTAL PROYECTO No. 1039</t>
  </si>
  <si>
    <t>TOTAL PLAN DE ADQUISICIONES 2016 BOGOTÁ MEJOR PARA TODOS</t>
  </si>
  <si>
    <t>PLAN DE ADQUISICIONES INVERSIÓN 2018</t>
  </si>
  <si>
    <t>Estrategia para el Desarrollo personal de los maestros del Distrito: ser maestro</t>
  </si>
  <si>
    <t>Centro de Costos</t>
  </si>
  <si>
    <t>Prestación de servicios profesionales para apoyar   las  acciones, métodos y procedimientos de evaluación del modelo de operación de la entidad y  la gestión del riesgo; enmarcados en los lineamientos  normativos  del ejercicio de la auditoría interna, el  Modelo Integrado de Planeación y Gestión Versión 2 y los  roles asignados a la Oficina de Control Interno.</t>
  </si>
  <si>
    <t>Enero</t>
  </si>
  <si>
    <t>Mayo</t>
  </si>
  <si>
    <t>Septiembre</t>
  </si>
  <si>
    <t>Octubre</t>
  </si>
  <si>
    <t>Noviembre</t>
  </si>
  <si>
    <t>Diciembre</t>
  </si>
  <si>
    <t>Total</t>
  </si>
  <si>
    <t>Prestación de servicios profesionales para apoyar la ejecución del proceso mejoramiento integral y continuo, así como el mantenimiento y sostenibilidad del Sistema Integrado de Gestión – SIG del IDEP.</t>
  </si>
  <si>
    <t>olsanchez@idep.edu.co</t>
  </si>
  <si>
    <t xml:space="preserve">Enero </t>
  </si>
  <si>
    <t>Prestación de servicios profesionales para apoyar la ejecución del proceso de gestión tecnológica que hace parte del Sistema Integrado de Gestión – SIG del IDEP, así como apoyar lo relacionado con el mantenimiento del Subsistema de Seguridad de la Información.</t>
  </si>
  <si>
    <t>Prestación de servicios profesionales para brindar apoyo administrativo en los procesos y procedimientos del Sistema de seguimiento a la política educativa distrital en los contextos escolares</t>
  </si>
  <si>
    <t>Estudio Sistema de seguimiento a la política educativa distrital en los contextos escolares -Fase 3</t>
  </si>
  <si>
    <t xml:space="preserve">Memoria histórica y educación para la paz - Caso Sumapaz. </t>
  </si>
  <si>
    <t>Prestación de servicios profesionales para desarrollar estrategias investigativas, formativas y creativas en el marco del estudio Memoria histórica y educación para la paz.: Caso Sumapaz. -Bogotá, D.C.</t>
  </si>
  <si>
    <t>Sistema de Monitoreo al cumplimiento de los estándares de calidad en educación inicial</t>
  </si>
  <si>
    <t>Abordaje integral de la Maternidad y la Paternidad en los contextos escolares. Fase III: Línea de base.</t>
  </si>
  <si>
    <t>Prestación de servicios profesionales para apoyar las acciones de comunicación en los canales y medios institucionales, difusión externa, actualización y generación de contenidos, en la socialización y divulgación de los proyectos y eventos efectuados por el IDEP.</t>
  </si>
  <si>
    <t xml:space="preserve">Prestación de servicios profesionales para apoyar el diseño y la diagramación de piezas gráficas, así como la creación y producción de materiales pedagógicos, promocionales y comunicativos del IDEP. </t>
  </si>
  <si>
    <t>Prestar servicios profesionales para apoyar la coordinación de las gestiones administrativas y operativas requeridas durante el desarrollo de los procesos misionales, así como apoyar las actividades de socialización académica e institucional y el seguimiento de la mismas.</t>
  </si>
  <si>
    <t>82141505 - 82111801</t>
  </si>
  <si>
    <t>Prestación de servicios profesionales para realizar el apoyo administrativo del componente cualificación, investigación e innovación docente: comunidades de saber y práctica pedagógica</t>
  </si>
  <si>
    <t>Prestación de servicios profesionales para el fortalecimiento de la estrategia de gestión documental y la estrategia de comunicación, socialización y divulgación del IDEP</t>
  </si>
  <si>
    <t>Arrendar un (1) stand, con el propósito que el Instituto para la Investigación Educativa y el Desarrollo Pedagógico IDEP, participe como expositor en la XXXI Feria Internacional del Libro de Bogotá -Colombia</t>
  </si>
  <si>
    <t>Pago Directo</t>
  </si>
  <si>
    <t>Programa de pensamiento crítico para la innovación e investigación educativa</t>
  </si>
  <si>
    <t>Prácticas de Evaluación - Conformación RIE</t>
  </si>
  <si>
    <t>Prestación de servicios profesionales para realizar el apoyo administrativo del Estudio sobre Prácticas de Evaluación</t>
  </si>
  <si>
    <t>Prestación de servicios para realizar el proceso de cualificación y el trabajo de campo para la conformación de la RED  Red de Instituciones por la Evaluación- RIE  en el Distrito Capital</t>
  </si>
  <si>
    <t xml:space="preserve">Prestación de servicios profesionales para apoyar a la oficina asesora jurídica en el cumplimiento de los procesos de apoyo del Sistema Integrado de Gestión: gestión jurídica y contractual, y llevar a cabo la defensa judicial de la entidad. </t>
  </si>
  <si>
    <t>adiazi@idep.edu.co</t>
  </si>
  <si>
    <t>cplazas@idep.edu.co</t>
  </si>
  <si>
    <t>Prestación de servicios profesionales para apoyar la ejecución del proceso de gestión documental que hace parte del Sistema Integrado de Gestión – SIG del IDEP.</t>
  </si>
  <si>
    <t>Adición y prórroga al contrato No. 35 cuyo objeto es "Prestar servicios profesionales para apoyar en la gestión de los procesos asociados con el área de Talento Humano de la entidad."</t>
  </si>
  <si>
    <t>Compra de computadores de escritorio y bases de computador</t>
  </si>
  <si>
    <t>Fecha estimada
 de inicio de proceso de selección (mes)</t>
  </si>
  <si>
    <t>Duración
 estimada del contrato (número)</t>
  </si>
  <si>
    <t>Duración 
estimada del contrato (intervalo: días, meses, años)</t>
  </si>
  <si>
    <t xml:space="preserve">Modalidad 
de selección </t>
  </si>
  <si>
    <t>jpalacio@idep.edu.co</t>
  </si>
  <si>
    <t>mcuevas@idep.edu.co</t>
  </si>
  <si>
    <t>mramirez@idep.edu.co</t>
  </si>
  <si>
    <t>rcortes@idep.edu.co</t>
  </si>
  <si>
    <t>abustamante@idep.edu.co</t>
  </si>
  <si>
    <t>dprada@idep.edu.co</t>
  </si>
  <si>
    <t>jgutierrezs@idep.edu.co</t>
  </si>
  <si>
    <t>lacuna@idep.edu.co</t>
  </si>
  <si>
    <t>CCE-05</t>
  </si>
  <si>
    <t>CCE-10</t>
  </si>
  <si>
    <t>Mínima cuantía</t>
  </si>
  <si>
    <t>CCE-06</t>
  </si>
  <si>
    <t>Códigos
UNSPSC</t>
  </si>
  <si>
    <t>Nombre del Responsable</t>
  </si>
  <si>
    <t>Código: FT-DIP-02-03</t>
  </si>
  <si>
    <t>Vigencia</t>
  </si>
  <si>
    <t>Rubro Presupuestal</t>
  </si>
  <si>
    <t>Actividad</t>
  </si>
  <si>
    <t xml:space="preserve">TOTAL GASTOS DE FUNCIONAMIENTO </t>
  </si>
  <si>
    <t>Subdirector  Administrativo, Financiero y de Control Disciplinario</t>
  </si>
  <si>
    <t>Correo eléctronico</t>
  </si>
  <si>
    <t>Versión:</t>
  </si>
  <si>
    <t>Codigo Modalidad 
de selección SECOP</t>
  </si>
  <si>
    <t>Concurso de méritos abierto</t>
  </si>
  <si>
    <t>Contratación directa</t>
  </si>
  <si>
    <t>Selección abreviada menor cuantía</t>
  </si>
  <si>
    <t>RECURSOS</t>
  </si>
  <si>
    <t>Fecha estimada 
 de presentación de ofertas (mes)</t>
  </si>
  <si>
    <t>Transferencias</t>
  </si>
  <si>
    <t>Recursos Administrados</t>
  </si>
  <si>
    <t>Recursos de Libre Destinanción</t>
  </si>
  <si>
    <t>Versión: 2</t>
  </si>
  <si>
    <t>Objeto del Contrato</t>
  </si>
  <si>
    <t>Compra de dotación  Integral (vestido y calzado de labor) para los funcionarios del IDEP,  que tienen derecho a ella por disposiciones de Ley para el año 2018 para todos los tres (3) periodos del año 2018.</t>
  </si>
  <si>
    <t>Profesional Especializado 222-03 
Área de Talento Humano</t>
  </si>
  <si>
    <t>nbeltran@idep.edu.co</t>
  </si>
  <si>
    <t>DOTACIÓN</t>
  </si>
  <si>
    <t>Suministro de combustibles  (Gasolina y Gas vehicular), mediante el sistema electrónico de control (microchip) programable, llantas para los vehículos del Instituto para la Investigación Educativa y el Desarrollo Pedagógico – IDEP.</t>
  </si>
  <si>
    <t>15101506  25172504 78181505</t>
  </si>
  <si>
    <t>Profesional Universitario 219-02 Servicios Generales</t>
  </si>
  <si>
    <t>lcorrea@idep.edu.co</t>
  </si>
  <si>
    <t>CAJA MENOR</t>
  </si>
  <si>
    <t>Técnico de Contabilidad</t>
  </si>
  <si>
    <t>Gastos de Computador</t>
  </si>
  <si>
    <t>Prestación de servicio  de soporte y actualización del sistema de información administrativo y financiero del IDEP</t>
  </si>
  <si>
    <t xml:space="preserve">Prestación de servicios para la renovación de la  licencia "Oracle Database Standard Edición - Processor Perpetual" con nivel de servicios "Software Update License &amp; Support" </t>
  </si>
  <si>
    <t>Prestación de servicios para la adquisición de licencias Google Apps</t>
  </si>
  <si>
    <t>Compra de licencias de Firewall</t>
  </si>
  <si>
    <t>Compra de licencias microsoft office</t>
  </si>
  <si>
    <t>Licencias de servidores Windows server  y Linux</t>
  </si>
  <si>
    <t xml:space="preserve">Expedición de los certificados de firma digital para la Ordenadora del gasto y el responsable de presupuesto. </t>
  </si>
  <si>
    <t>Combustibles, lubricantes y llantas</t>
  </si>
  <si>
    <t>TOTAL  ADQUISICIÓN DE BIENES</t>
  </si>
  <si>
    <t>Arrendamientos</t>
  </si>
  <si>
    <t>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</si>
  <si>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</si>
  <si>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</si>
  <si>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</si>
  <si>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Administración oficinas</t>
  </si>
  <si>
    <t>Prestación del servicio de mensajería especializada para el Instituto para la Investigación Educativa y Desarrollo Pedagógico IDEP</t>
  </si>
  <si>
    <t>obonilla@idep.edu.co</t>
  </si>
  <si>
    <t>Prestación del servicio de CELULAR ETB (3)</t>
  </si>
  <si>
    <t xml:space="preserve"> Impresos y publicaciones</t>
  </si>
  <si>
    <t>Alquiler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</si>
  <si>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Mantenimiento entidad</t>
  </si>
  <si>
    <t>Prestación de los servicios de aseo y cafetería, con suministro de insumos, en las instalaciones del Instituto para la Investigación Educativa y el Desarrollo Pedagógico - IDEP.</t>
  </si>
  <si>
    <t>76111501
 95121503</t>
  </si>
  <si>
    <t>Contratar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</si>
  <si>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ENERGIA</t>
  </si>
  <si>
    <t>ACUEDUCTO</t>
  </si>
  <si>
    <t>ASEO</t>
  </si>
  <si>
    <t>TELEFONOS</t>
  </si>
  <si>
    <t>Prestación de servicios profesionales  para  realizar  la capacitación a los servidores y servidoras del  IDEP</t>
  </si>
  <si>
    <t>Adquisición de bonos de bienestar para los servidores públicos de planta del IDEP, y de bonos de navidad, para sus hijos, en edades comprendidas entre los cero (0) a trece (13) años.</t>
  </si>
  <si>
    <t>60141000;
80111500</t>
  </si>
  <si>
    <t>Servicio de apoyo logístico para la realización de actividades recreativas para los hijos de los funcionarios en edades entre los cero (0) a los trece (13) años , las cuales tienen como fin contribuir al fortalecimiento de los procesos motivacionales, actitudinales y comportamentales de los servidores públicos.</t>
  </si>
  <si>
    <t>Incentivos no pecuniarios</t>
  </si>
  <si>
    <t xml:space="preserve"> Salud ocupacional</t>
  </si>
  <si>
    <t>Prestación de servicios para realizar los exámenes médico ocupacionales para los servidores del IDEP.</t>
  </si>
  <si>
    <t>TOTAL ADQUISICIÓN DE SERVICIOS</t>
  </si>
  <si>
    <t>Impuestos, tasas, contribuciones, derechos y multas</t>
  </si>
  <si>
    <t>TOTAL  OTROS GASTOS GENERALES</t>
  </si>
  <si>
    <t>GRAN TOTAL PLAN DE ADQUISICIONES AÑO 2018</t>
  </si>
  <si>
    <t>Gastos de transporte y comunicación</t>
  </si>
  <si>
    <t>Seguros Entidad</t>
  </si>
  <si>
    <t>Servicios públicos</t>
  </si>
  <si>
    <t>Capacitación</t>
  </si>
  <si>
    <t>Bienestar e incentivos</t>
  </si>
  <si>
    <t>GASTOS DIRECTOS</t>
  </si>
  <si>
    <t>Profesional Especializado 222-03  Academica</t>
  </si>
  <si>
    <t>Profesional 222-07</t>
  </si>
  <si>
    <t xml:space="preserve">Prestación de servicios para apoyar las actividades académicas e institucionales que permitan visibilizar, compartir, intercambiar y posicionar el conocimiento pedagógico y educativo generado desde el Sistema de Seguimiento a la política educativa distrital en los contextos escolares y la Estrategia de Cualificación investigación e innovación docente: Comunidades de saber y de práctica pedagógica. </t>
  </si>
  <si>
    <t>Asesor 105-02</t>
  </si>
  <si>
    <t>Prestación de servicios profesionales para la aplicación en 2018, de la metodología de evaluación de impacto (MEI) del IDEP a uno de los proyectos desarrollados por el Instituto.</t>
  </si>
  <si>
    <t>Asesor 105-03</t>
  </si>
  <si>
    <t>Profesional 222-05</t>
  </si>
  <si>
    <t>Subdirectora Académica</t>
  </si>
  <si>
    <t>Prestación de servicios profesionales para apoyar el desarrollo, administración y gestión de contenidos para los sitios web administrados por el IDEP, así como brindar soporte a los sistemas informáticos, en el marco de las actividades de comunicación, socialización y divulgación institucional.</t>
  </si>
  <si>
    <t>Prestación de servicios profesionales para diseñar el magazín "Aula Urbana" y la revista "Educación y Ciudad" del Instituto para la Investigación Educativa y el Desarrollo Pedagógico, durante la vigencia 2018.</t>
  </si>
  <si>
    <t>Prestación de servicios para realizar el diseño, la edición y diagramación de libros en la vigencia 2018, de la serie editorial del Instituto para la Investigación Educativa y el Desarrollo Pedagógico.</t>
  </si>
  <si>
    <t>Suscripción para el uso de servicios y licencias para el fortalecimiento de las actividades de comunicación, socialización y divulgación del IDEP</t>
  </si>
  <si>
    <t>Prestación de servicios profesionales para orientar el acompañamiento a iniciativas de experiencias pedagógicas: Nivel I.</t>
  </si>
  <si>
    <t>Profesional 219 -01</t>
  </si>
  <si>
    <t>Prestación de servicios profesionales para apoyar  el acompañamiento  a iniciativas de experiencias pedagógicas: Nivel I</t>
  </si>
  <si>
    <t>Prestación de servicios profesionales para orientar el acompañamiento  a iniciativas de experiencias pedagógicas: Nivel II.</t>
  </si>
  <si>
    <t>Prestación de servicios profesionales para apoyar el acompañamiento a iniciativas de experiencias pedagógicas: Nivel II.</t>
  </si>
  <si>
    <t>Prestación de servicios profesionales para orientar el acompañamiento  a iniciativas de experiencias pedagógicas: Nivel III.</t>
  </si>
  <si>
    <t>Prestación de servicios profesionales para apoyar el acompañamiento  a iniciativas de experiencias pedagógicas: Nivel III.</t>
  </si>
  <si>
    <t>Prestación de servicios profesionales para realizar el análisis cualitativo del proceso de caracterización y acompañamiento a experiencias pedagógicos en los tres niveles de desarrollo.</t>
  </si>
  <si>
    <t xml:space="preserve">Prestación de servicios profesionales para apoyar en la implementación de estrategias de caracterización, cualificación y divulgación de experiencias pedagógicas que contribuyan a la conformación de comunidades de saber y práctica pedagógica  </t>
  </si>
  <si>
    <t>Membrecía anual (2018) al Consejo Latinoamericano de Ciencias Sociales- CLACSO</t>
  </si>
  <si>
    <t xml:space="preserve">Prestación del servicio de un canal de Internet dedicado   </t>
  </si>
  <si>
    <t>81112500;81112200</t>
  </si>
  <si>
    <t>NA</t>
  </si>
  <si>
    <t>Gastos directos</t>
  </si>
  <si>
    <t>agevara@idep.edu.co</t>
  </si>
  <si>
    <t>Gastos Directos</t>
  </si>
  <si>
    <t>Cancelación de impuestos, tasas, contribuciones, derechos y multas</t>
  </si>
  <si>
    <t>Profesional Especializado 222-04</t>
  </si>
  <si>
    <t>ogomez@idep.edu.co</t>
  </si>
  <si>
    <t>Prestación de servicios para el mantenimiento de UPS</t>
  </si>
  <si>
    <t>Prestación de servicios profesionales para la adopción en los procesos de transición e implementación del Nuevo Marco Normativo para Entidades del Gobierno, en convergencia con Normas Internacionales de Información Financiera NIIF y Normas Internacionales de Contabilidad para el Sector Público - NICSP y apoyo en la estructuración de los informes requeridos en cumplimiento de lo establecido en la normatividad vigente.</t>
  </si>
  <si>
    <t>Prestación de servicios profesionales para apoyar la ejecución de los procedimientos planeación operativa, ejecución y seguimiento de proyectos de investigación y desarrollo y del proceso atención al ciudadano que hacen parte del Sistema Integrado de Gestión–SIG del IDEP.</t>
  </si>
  <si>
    <t>Fecha Aprobación :01/12/2017</t>
  </si>
  <si>
    <t>Página: 1 de 8</t>
  </si>
  <si>
    <t>Fecha Aprobación: 01/12/2017</t>
  </si>
  <si>
    <t>Página: 1 de 3</t>
  </si>
  <si>
    <t>Prestar los servicios de implementación de actividades de intervención y control de factores de riesgo psicosocial y sus efectos.</t>
  </si>
  <si>
    <t>Prestación de servicios profesionales para el apoyo a la ejecución de las actividades del Subsistema de Gestión Ambiental así como al mantenimiento y sostenibilidad del Subsistema de Seguridad y Salud en el Trabajo .que hacen parte del SIG del  IDEP.</t>
  </si>
  <si>
    <t>Profesional 222-03- Académica</t>
  </si>
  <si>
    <t>Prestación de servicios de apoyo operativo para la adopción, implementación y aplicación de  las Tablas de Retención y Valoración  Documental convalidadas</t>
  </si>
  <si>
    <t>Profesional 222-04</t>
  </si>
  <si>
    <t xml:space="preserve">Prestación de servicios profesionales para realizar el análisis cualitativo y cuantitativo de la consulta a las fuentes primarias y el análisis documental de la producción programática de la SED y el MEN, correspondientes con la línea estratégica Equipo por la educación para el reencuentro, la reconciliación y la paz del Plan Sectorial de Educación, y la articulación de acciones y consolidación de resultados, en el marco de la aplicación del Sistema de Seguimiento a la Política Educativa Distrital en los contextos escolares, Fase 3. </t>
  </si>
  <si>
    <t xml:space="preserve">Prestación de servicios profesionales para realizar el análisis cualitativo de la consulta a las fuentes primarias y el análisis documental de la producción programática del MEN y la SED de la línea estratégica Calidad Educativa para Todos del Plan Sectorial de Educación vigente, en el marco de la aplicación del Sistema de Seguimiento a la Política Educativa Distrital en los contextos escolares, Fase 3. </t>
  </si>
  <si>
    <t xml:space="preserve">Prestación de servicios profesionales para realizar el análisis cuantitativo de la consulta a las fuentes primarias y el análisis documental de la producción programática del MEN y la SED de la línea estratégica Calidad Educativa para Todos del Plan Sectorial de Educación vigente, en el marco de la aplicación del Sistema de Seguimiento a la Política Educativa Distrital en los contextos escolares, Fase 3. </t>
  </si>
  <si>
    <t>Prestación de servicios profesionales para realizar la recolección, procesamiento, sistematización y análisis de la información relacionada con la consulta a las fuentes primarias, en la aplicación del Sistema de seguimiento a la política educativa distrital en los contextos escolares, Fase 3.</t>
  </si>
  <si>
    <t xml:space="preserve">Prestación de servicios profesionales para orientar conceptual y metodológicamente el estudio Memoria histórica y educación para la paz: El caso de Sumapaz. </t>
  </si>
  <si>
    <t>Profesional 222 -06</t>
  </si>
  <si>
    <t>Prestación de servicios profesionales para apoyar administrativamente en las acciones de planeación, logística y comunicación del IDEP, en el marco del Programa de pensamiento crítico para la innovación e investigación educativa.</t>
  </si>
  <si>
    <t>Prestación de servicios profesionales para apoyar a la Subdirección Académica en la coordinación, desarrollo de proyectos y estrategias para la gestión y proyección del Centro de Documentación del IDEP, que permitan visibilizar, compartir, intercambiar y posicionar el conocimiento pedagógico y educativo generado.</t>
  </si>
  <si>
    <t>eortiz@idep.edu.co</t>
  </si>
  <si>
    <t>Prestación de servicios profesionales para planear, gestionar y coordinar las actividades de la expedición pedagógica en el marco del programa de pensamiento crítico para la innovación e investigación educativa</t>
  </si>
  <si>
    <t>Prestación de servicios profesionales para fomentar la conformación y apoyar el semillero de innovación educativa, en el marco del programa de pensamiento crítico para la innovación e investigación educativa</t>
  </si>
  <si>
    <t xml:space="preserve">Prestación de servicios profesionales para  la coordinación de la propuesta conceptual  y metodológica del Premio a la Investigación e Innovación Educativa 2018 </t>
  </si>
  <si>
    <t>Prestación de servicios profesionales para apoyar la gestión académica y administrativa de las actividades de Innovación Educativa y  Reconocimiento Docente -  Premio a la Investigación e Innovación Educativa.</t>
  </si>
  <si>
    <t>Prestación de servicios profesionales para apoyar la gestión académica, logística y administrativa de las actividades culturales, académicas e incentivos. Asimismo apoyar administrativamente la gestión de las actividades de Innovación Educativa.</t>
  </si>
  <si>
    <t>Prestación de servicios profesionales para orientar metodológicamente la conformación de la Red de Instituciones por la Evaluación- RIE y liderar la divulgación  de prácticas significativas de evaluación.</t>
  </si>
  <si>
    <t xml:space="preserve">Prestación de servicios profesionales para fundamentar conceptualmente  y sistematizar el proceso de conformación de la Red de Instituciones por la Evaluación - RIE </t>
  </si>
  <si>
    <t xml:space="preserve">Prestación de servicios profesionales para acompañar  el proceso de conformación de la Red de Instituciones por la Evaluación - RIE en  el eje:  prácticas  evaluativas acordes con la política distrital de evaluación en grados y áreas  </t>
  </si>
  <si>
    <t>Prestación de servicios profesionales para acompañar  el proceso de conformación de la Red de Instituciones por la Evaluación - RIE en  el eje: prácticas  evaluativas acordes con la política distrital de evaluación en los nodos 1 y 2.</t>
  </si>
  <si>
    <t xml:space="preserve">Prestación de servicios profesionales para acompañar  el proceso de conformación de la Red de Instituciones por la Evaluación - RIE en  el eje: prácticas  evaluativas acordes con la política distrital de evaluación en los nodos 3 y 4. </t>
  </si>
  <si>
    <t>Prestación de servicios profesionales para implementar, evaluar y sistematizar la experiencia piloto de la estrategia   para el desarrollo personal de los docentes del Distrito Capital y apoyar los procesos de investigación y sistematización asociados a la oferta de servicios de formación desde el eje de innovación.</t>
  </si>
  <si>
    <t>Prestación de servicios profesionales para implementar, evaluar y sistematizar la experiencia piloto de la estrategia  para el desarrollo personal de los docentes del Distrito Capital y apoyar los procesos de investigación desde el eje de cualificación.</t>
  </si>
  <si>
    <t>Prestar servicios profesionales para apoyar la coordinación de las gestiones administrativas y operativas requeridas durante el desarrollo de los procesos misionales, así como apoyar las actividades de socialización académica e institucional y el seguimiento de las mismas.</t>
  </si>
  <si>
    <t>Prestación de servicios profesionales para  asesorar y apoyar  en todos los asuntos, controversias o litigios de carácter jurídico y disciplinario que requiera la Subdirección Administrativa Financiera y de control Disciplinario, así como en el desarrollo de las acciones preventivas que permitan garantizar el cumplimiento de los deberes y obligaciones de los funcionarios del IDEP  en procura de salvaguardar el patrimonio institucional.</t>
  </si>
  <si>
    <t>Duración 
estimada del contrato (intervalo: días(0), meses (1), años (2))</t>
  </si>
  <si>
    <t>Jefe Oficina de Planeación</t>
  </si>
  <si>
    <t>Jefe Oficina Jurídica</t>
  </si>
  <si>
    <t>Subdirector AFyCD</t>
  </si>
  <si>
    <t xml:space="preserve">
Prestación de servicios profesionales para orientar académicamente el estudio "Abordaje integral de la Maternidad y la Paternidad en los contextos escolares. Línea de base” en la etapa de validación con expertos y la aplicación con carácter de pilotaje.</t>
  </si>
  <si>
    <t xml:space="preserve"> 
Prestación de servicios profesionales para apoyar en la organización, procesamiento y análisis de la información cuantitativa del estudio "Abordaje integral de la Maternidad y la Paternidad en los contextos escolares: Línea de base”, en la etapa de validación con expertos y la aplicación con carácter de pilotaje.</t>
  </si>
  <si>
    <t xml:space="preserve"> 
Prestación de servicios profesionales para apoyar en la organización, procesamiento y análisis de la información cualitativa del estudio "Abordaje integral de la Maternidad y la Paternidad en los contextos escolares. Línea de base”, en la etapa de validación con expertos y la aplicación con carácter de pilotaje.</t>
  </si>
  <si>
    <t xml:space="preserve"> 
Prestar servicios profesionales para apoyar la gestión administrativa del estudio "Abordaje integral de la Maternidad y la Paternidad en los contextos escolares. Línea de base” en la etapa de validación con expertos y la aplicación con carácter de pilotaje.</t>
  </si>
  <si>
    <t>82111801- 82111803</t>
  </si>
  <si>
    <t>adiaz@idep.edu.co</t>
  </si>
  <si>
    <t>Prestación de servicios profesionales para realizar la edición de la Revista "Educación y Ciudad" del Instituto para la Investigación Educativa y el Desarrollo Pedagógico, durante la vigencia 2018.</t>
  </si>
  <si>
    <t>PLAN DE ADQUISICIONES FUNCIONAMIENTO 2018</t>
  </si>
  <si>
    <t>Subdirector Administrativo, Financiero y CD</t>
  </si>
  <si>
    <t>Prestación de servicios profesionales para orientar académicamente el estudio de aplicación del Sistema de Monitoreo de estándares de calidad en Educación Inicial y seguimiento a sus resultados.</t>
  </si>
  <si>
    <t>Prestar servicios profesionales para apoyar la gestión administrativa del estudio de aplicación del Sistema de Monitoreo de estándares de calidad en Educación Inicial y seguimiento a sus resultados.</t>
  </si>
  <si>
    <t>Código 386 
Tres centros de Innovación que dinamizan las Estrategias y procesos en la Red de Innovación del Maestro</t>
  </si>
  <si>
    <t>Componente N° 2: Estrategia de Cualificación investigación e innovación docente: Comunidades de saber y de práctica pedagógica</t>
  </si>
  <si>
    <t>TOTAL COMPONENTE 2 : Estrategia de Cualificación, Investigación e Innovación Docente: Comunidades de Saber y Práctica Pedagógica</t>
  </si>
  <si>
    <t>Correo Electrónico</t>
  </si>
  <si>
    <t>Código Modalidad 
de selección SECOP</t>
  </si>
  <si>
    <t>Recursos de Libre Destinación</t>
  </si>
  <si>
    <t>Prestación de servicios profesionales para apoyar  a la oficina asesora jurídica en la ejecución de sus procesos, así como en  cumplimiento de los lineamientos establecidos para cada uno de los siete  (7) subsistemas que conforma el  sistema integrado de gestión SIG de conformidad con la norma técnica del Distrito.</t>
  </si>
  <si>
    <t xml:space="preserve">
Prestación de servicios profesionales para apoyar en la ejecución del proceso de Gestión del Talento Humano del IDEP dentro del marco del Sistema Integrado de Gestión del IDEP.</t>
  </si>
  <si>
    <t>Prestar servicios profesionales de apoyo a la gestión  en el análisis, consolidación y entrega de  Informes de Gestión. Así mismo, el seguimiento, control y evaluación a los reportes generados por los procesos de la Subdirección Administrativa, Financiera y de Control Interno Disciplinario del IDEP.</t>
  </si>
  <si>
    <t>115 Fortalecimiento Institucional desde la Gestión Pedagógica</t>
  </si>
  <si>
    <t>Correo electrónico</t>
  </si>
  <si>
    <t>Código 383 
Un sistema de seguimiento a la Política Educativa Distrital en los contestos Escolares Ajustado e Implementado</t>
  </si>
  <si>
    <t xml:space="preserve">
Prestación de servicios profesionales para apoyar en la organización, procesamiento y análisis de la información cualitativa del estudio de acompañamiento en planes de mejora y el seguimiento al Sistema de Monitoreo de estándares de calidad en Educación Inicial.</t>
  </si>
  <si>
    <t>Comunicación, socialización y divulgación Componente 2</t>
  </si>
  <si>
    <t>Comunicación, Socialización y Divulgación: Componente 1</t>
  </si>
  <si>
    <t>Realizar la coedición por medio impreso (en papel) y/o electrónica (e-book, PDF), del libro titulado “21 VOCES. Historias de vida sobre 40 años de Educación en Colombia” de los autores J.D. Herrera y H. Bayona</t>
  </si>
  <si>
    <t>Categoria</t>
  </si>
  <si>
    <t>2.5.14</t>
  </si>
  <si>
    <t>2.5.20</t>
  </si>
  <si>
    <t xml:space="preserve">2.1 </t>
  </si>
  <si>
    <t>2.1</t>
  </si>
  <si>
    <t>2.5.2</t>
  </si>
  <si>
    <t>2.5.5</t>
  </si>
  <si>
    <t>1.2.5.2</t>
  </si>
  <si>
    <t>Prestación de servicios profesionales para apoyar la convalidación de las tablas de valoración documental</t>
  </si>
  <si>
    <t>2.6.23</t>
  </si>
  <si>
    <t>Prestación de servicios profesionales para: (1) efectuar el acompañamiento en la indagación cualitativa y cuantitativa, y en la lectura de resultados para la elaboración de planes de mejora del Sistema de Monitoreo de estándares de calidad en Educación Inicial; y (2) apoyar en las actividades de recolección de la información y el acompañamiento a las IED en los procesos relacionados con la indagación cualitativa y cuantitativa del estudio "Abordaje integral de la Maternidad y la Paternidad en los contextos escolares. Línea de base”, en la etapa de validación con expertos y la aplicación con carácter de pilotaje.</t>
  </si>
  <si>
    <t>enero</t>
  </si>
  <si>
    <t>Prestación de servicios profesionales para apoyar acciones administrativas y de comunicación que articulen los dos componentes del proyecto de inversión</t>
  </si>
  <si>
    <t>Nombre Centro de Costo</t>
  </si>
  <si>
    <t>Categoría</t>
  </si>
  <si>
    <t>Nombre Categoría</t>
  </si>
  <si>
    <t>Categoría a escoger</t>
  </si>
  <si>
    <t>Grupo Misional Subdirección Académica</t>
  </si>
  <si>
    <t>2.4</t>
  </si>
  <si>
    <t>Estudio, análisis y diseño…</t>
  </si>
  <si>
    <t>Sericios profesionales</t>
  </si>
  <si>
    <t>Estudio, análisis y diseño…procesamiento de la información</t>
  </si>
  <si>
    <t>Servicios de apoyo logístico</t>
  </si>
  <si>
    <t>Convenio 1452 de 2017 IDEP-SED</t>
  </si>
  <si>
    <t xml:space="preserve">2.6.27.08  </t>
  </si>
  <si>
    <t>Pagos bajo el convenio 1452</t>
  </si>
  <si>
    <t>2.4 y
2.6.27.08</t>
  </si>
  <si>
    <t>Estudio, análisis y diseño…procesamiento de la información-
Pagos bajo el convenio 1452…</t>
  </si>
  <si>
    <t>2.3</t>
  </si>
  <si>
    <t>Investigación y desarrollo</t>
  </si>
  <si>
    <t>2.6.31</t>
  </si>
  <si>
    <t>Divulgación institucional…</t>
  </si>
  <si>
    <t>2.6.28</t>
  </si>
  <si>
    <t>Edición, diseño y diagramación</t>
  </si>
  <si>
    <t>Servicios profesionales</t>
  </si>
  <si>
    <t>Magazin Aula Urbana - MAU</t>
  </si>
  <si>
    <t>Revista Educación y Ciudad</t>
  </si>
  <si>
    <t>Libros</t>
  </si>
  <si>
    <t>Subdirección Académica</t>
  </si>
  <si>
    <t>Renovación licencias</t>
  </si>
  <si>
    <t>Servicios Profesionales</t>
  </si>
  <si>
    <t>Centro de Documentación</t>
  </si>
  <si>
    <t>Estudios, análisis, diseño y recolección de información</t>
  </si>
  <si>
    <t>2.5.14 
2.6.27.08</t>
  </si>
  <si>
    <t>Servicios de apoyo logístico
Pagos bajo el convenio 1452…</t>
  </si>
  <si>
    <t>Servicios de Apoyo Logístico</t>
  </si>
  <si>
    <t>Grupo Sistemas de Información</t>
  </si>
  <si>
    <t>Impresos, publicaciones, suscripciones y servicios fotográficos, cartografía</t>
  </si>
  <si>
    <t>Renta o arrendamiento de bienes inmuebles</t>
  </si>
  <si>
    <t>Oficina Asesora de Planeación</t>
  </si>
  <si>
    <t>Jurídica</t>
  </si>
  <si>
    <t>Contabilidad</t>
  </si>
  <si>
    <t>Equipo de Computación</t>
  </si>
  <si>
    <t>Archivo y Correspondencia</t>
  </si>
  <si>
    <t>2.2</t>
  </si>
  <si>
    <t>Servicios de apoyo administrativo funcionamiento</t>
  </si>
  <si>
    <t>Subdirección Administrativa, Financiera y de CD</t>
  </si>
  <si>
    <t>Area de Talento Humano</t>
  </si>
  <si>
    <t>Bienestar, capacitación</t>
  </si>
  <si>
    <t>2.5.18</t>
  </si>
  <si>
    <t>2.5.22</t>
  </si>
  <si>
    <t>2.5.21</t>
  </si>
  <si>
    <t>2.5.6</t>
  </si>
  <si>
    <t>Despacho Dirección General</t>
  </si>
  <si>
    <t>2.5.23</t>
  </si>
  <si>
    <t>Servicios Generales</t>
  </si>
  <si>
    <t>2.5.24</t>
  </si>
  <si>
    <t>Almacén General</t>
  </si>
  <si>
    <t>1.1.1.1</t>
  </si>
  <si>
    <t>10101
20102
30303
30302
10103</t>
  </si>
  <si>
    <t>Subdirección AFYCD
Grupo Sistemas de Informción
Grupo Misional
Centro de Documentación
Jurídica</t>
  </si>
  <si>
    <t>2.5.15</t>
  </si>
  <si>
    <t>Subdirección AFYCD</t>
  </si>
  <si>
    <t>Grupo Misional</t>
  </si>
  <si>
    <t>10101
30303
30302</t>
  </si>
  <si>
    <t>Subdirección AFYCD
Grupo Misional
Centro de Documentación</t>
  </si>
  <si>
    <t>2.5.16</t>
  </si>
  <si>
    <t>2.5.4</t>
  </si>
  <si>
    <t>10101
30201
30301</t>
  </si>
  <si>
    <t>Subdirección AFYCD
Despacho Dirección General
Subdirección Académica</t>
  </si>
  <si>
    <t>10101
30303
10103</t>
  </si>
  <si>
    <t>Subdirección AFYCD
Grupo Misional
Jurídica</t>
  </si>
  <si>
    <t>2.5.8</t>
  </si>
  <si>
    <t>1.1.8 y 2.5.9</t>
  </si>
  <si>
    <t>2.5.11</t>
  </si>
  <si>
    <t>10101
20102
30303
30302</t>
  </si>
  <si>
    <t>Subdirección AFYCD
Grupo Sistemas de Informción
Grupo Misional
Centro de Documentación</t>
  </si>
  <si>
    <t>2.5.1</t>
  </si>
  <si>
    <t>2.5.9</t>
  </si>
  <si>
    <t>4.1</t>
  </si>
  <si>
    <t>ITEM SIAFI</t>
  </si>
  <si>
    <t>Meta Vigencia 2018</t>
  </si>
  <si>
    <t xml:space="preserve">
Prestación de servicios profesionales para apoyar en la organización, procesamiento y análisis de la información cualitativa del estudio de aplicación del Sistema de Monitoreo de estándares de calidad en Educación Inicial y seguimiento a sus resultados.</t>
  </si>
  <si>
    <t xml:space="preserve">
Prestación de servicios profesionales para apoyar en la propuesta de adaptaciones o ajustes del Sistema de monitoreo a los estándares de calidad en Educación Inicial necesarios  para su aplicación en todas las instituciones educativas de Bogotá que brindan educación inicial en los grados de jardin o transición.
</t>
  </si>
  <si>
    <t>TOTAL ACTIVIDAD</t>
  </si>
  <si>
    <t>Realizar  tres (3) Estudios en Escuela currículo y pedagogía, Educación y políticas públicas y Cualificación docente</t>
  </si>
  <si>
    <t>Prestación de servicios de apoyo a la gestión para el desarrollo de actividades académicas y pedagógicas en el marco del convenio 1452 de 2017 para los componentes (4) innovación Educativa y (5) Reconocimiento docente.</t>
  </si>
  <si>
    <t>PAGOS</t>
  </si>
  <si>
    <t>INMOBILIARIA 1 CASA GRANDE LIMITADA</t>
  </si>
  <si>
    <t>MAURICIO GALARZA LOPEZ</t>
  </si>
  <si>
    <t>NANCY YAZMIN TINJACA CASTRO</t>
  </si>
  <si>
    <t>HUGO HERNAN ROCHA CORREA</t>
  </si>
  <si>
    <t>RECURSOS DE LIBRE DESTINACIÓN</t>
  </si>
  <si>
    <t>MARIA ANGELICA MARTINEZ VERGARA</t>
  </si>
  <si>
    <t>VIVIANA MONROY PRECIADO</t>
  </si>
  <si>
    <t>SINDY PAOLA CASTELBLANCO CHAVARRO</t>
  </si>
  <si>
    <t>NUBIA PATRICIA SANABRIA</t>
  </si>
  <si>
    <t>ORACLE COLOMBIA LTDA</t>
  </si>
  <si>
    <t>JAIME LEONARDO ACOSTA DIAZ</t>
  </si>
  <si>
    <t>EDISON ENRIQUE BARRERO TORRES</t>
  </si>
  <si>
    <t>STEPHANIA ORTEGA LUGO</t>
  </si>
  <si>
    <t>SANDRA MILENA BONILLA RODRIGUEZ</t>
  </si>
  <si>
    <t>CORPOEDUCACIÓN</t>
  </si>
  <si>
    <t>CORPOEDUCAIÓN</t>
  </si>
  <si>
    <t>BETTY BLANCO SANDOVAL</t>
  </si>
  <si>
    <t>DIANA CAROLINA MARTINEZ RODRIGUEZ</t>
  </si>
  <si>
    <t>WILLIAM PLUTARCO MANTILLA CARDENAS</t>
  </si>
  <si>
    <t>OLGA PATRICIA TELLEZ BECERRA</t>
  </si>
  <si>
    <t>ANDREA MARCELA LAGOS MENDOZA</t>
  </si>
  <si>
    <t>1801/2018</t>
  </si>
  <si>
    <t>LAURA MARIANA PRIETO VEGA</t>
  </si>
  <si>
    <t>OLGA LUCIA BEJARANO BEJARANO</t>
  </si>
  <si>
    <t>LUZ SNEY CARDOZO ESPITIA</t>
  </si>
  <si>
    <t>ADRIANA MARCELA LONDOÑO CANCELADO</t>
  </si>
  <si>
    <t>ANDREA OSORIO VILLADA</t>
  </si>
  <si>
    <t>DFUNDACIÓN UNIVERSITARIA CAFAM</t>
  </si>
  <si>
    <t>LUIS ALFONSO TMAYO VALENCIA</t>
  </si>
  <si>
    <t>ANA MARIA CARO DIAZ</t>
  </si>
  <si>
    <t>LICED ANGELICA ZEA SILVA</t>
  </si>
  <si>
    <t>EDWIN ALEXANDER DUQUE OLIVA</t>
  </si>
  <si>
    <t>FUNDACIÓN UNIVESITARIA CAFAM</t>
  </si>
  <si>
    <t>ALBERTO AYALA MORANTE</t>
  </si>
  <si>
    <t>NELSON MAURICIO MUÑOZ</t>
  </si>
  <si>
    <t>NOHORA MARIA ESPERANZA ROZO GUEVARA</t>
  </si>
  <si>
    <t>OSCAR ORLANDO LOZANO MANRIQUE</t>
  </si>
  <si>
    <t>JUAN CARLOS DIAZ GOMEZ</t>
  </si>
  <si>
    <t xml:space="preserve">CORPORACIÓN DE FERIAS Y EXPOSICIONES </t>
  </si>
  <si>
    <t>COOPERATIVA EDITORIAL MAGISTERIO</t>
  </si>
  <si>
    <t>KAREN NAYIBE MALAGON RUBIO</t>
  </si>
  <si>
    <t>23/14/2018</t>
  </si>
  <si>
    <t>ANDREA SARMIENTO BOHORQUEZ</t>
  </si>
  <si>
    <t>ADRY LILIANA MANRIQUE LAGOS</t>
  </si>
  <si>
    <t>JUAN HARBEY NUMPAQUE FONSECA</t>
  </si>
  <si>
    <t>OSCAR JULIO SEGURA MARTINEZ</t>
  </si>
  <si>
    <t>ADRIANA LOPEZ CAMACHO</t>
  </si>
  <si>
    <t>ANTONIO SEGUNDO VARGAS</t>
  </si>
  <si>
    <t>LINA MARIA VARGAS ALVAREZ</t>
  </si>
  <si>
    <t>JUAN JOSE CORREA VARGAS</t>
  </si>
  <si>
    <t>LORENA SOFIA CORREA TOVAR</t>
  </si>
  <si>
    <t>MARISOL HERNANDEZ VIASUS</t>
  </si>
  <si>
    <t>JOHN HAROLD RINCON HOLGUIN</t>
  </si>
  <si>
    <t>FRANCY LORENY CARRANZA FRANCO</t>
  </si>
  <si>
    <t>FUNDACONVIVENCIA</t>
  </si>
  <si>
    <t>JOSE ANTONIO RONDON RODRIGUEZ</t>
  </si>
  <si>
    <t>TALLER DE EDICIÓN ROCCA SA</t>
  </si>
  <si>
    <t>UNIVERSIDAD DE LOS ANDES</t>
  </si>
  <si>
    <t>MARINA BERNAL</t>
  </si>
  <si>
    <t>CAROLINA LOPERA OQUENDO</t>
  </si>
  <si>
    <t>ALEJANDRA QUINTANA MARTINEZ</t>
  </si>
  <si>
    <t>E-VALUAR</t>
  </si>
  <si>
    <t>CLACSO</t>
  </si>
  <si>
    <t>DIEGO ARMANDO GUTIERREZ DIMATE</t>
  </si>
  <si>
    <t>LUZ MARIBEL PAEZ MENDIETA</t>
  </si>
  <si>
    <t>OSCAR EDUARDO GONZALEZ AGUIRRE</t>
  </si>
  <si>
    <t>ADRIANA LUCIA CASTRO ROJAS</t>
  </si>
  <si>
    <t>JENNY CARDENAS BUITRAGO</t>
  </si>
  <si>
    <t>CLAUDIA ESPERANZA APARICIO ESCAMILLA</t>
  </si>
  <si>
    <t>Concepto</t>
  </si>
  <si>
    <t>Disponibilidad - CDP</t>
  </si>
  <si>
    <t xml:space="preserve">Compromisos </t>
  </si>
  <si>
    <t>Pagos</t>
  </si>
  <si>
    <t xml:space="preserve">Gastos Generales </t>
  </si>
  <si>
    <t>Inversión</t>
  </si>
  <si>
    <t>Adquirir insumos gráficos para la impresión de publicaciones del Instituto para la Investigación Educativa y el Desarrollo Pedagógico, IDEP, conforme las especificaciones técnicas señaladas</t>
  </si>
  <si>
    <t xml:space="preserve">Agosto </t>
  </si>
  <si>
    <t>FUNCIÓN PREVENTIVA</t>
  </si>
  <si>
    <t>DIEGO HERNANDO VARGAS ARGAS</t>
  </si>
  <si>
    <t>Selección abreviada subasta inversa</t>
  </si>
  <si>
    <t>CCE-02</t>
  </si>
  <si>
    <t>Licitación Pública</t>
  </si>
  <si>
    <t>CCE-03</t>
  </si>
  <si>
    <t>Concurso de méritos con precalificación</t>
  </si>
  <si>
    <t>CCE-04</t>
  </si>
  <si>
    <t>CCE-07</t>
  </si>
  <si>
    <t>CCE-99</t>
  </si>
  <si>
    <t>Selección abreviada- acuerdo marco</t>
  </si>
  <si>
    <t>listas</t>
  </si>
  <si>
    <t>Presupuesto 2018</t>
  </si>
  <si>
    <t>Compra de licencias para herramientas ofimaticas y sistemas operativos para servidores</t>
  </si>
  <si>
    <t>Selección Abreviada Subasta Inversa</t>
  </si>
  <si>
    <t xml:space="preserve">Prestación de servicios de mantenimiento preventivo y correctivo del parque automotor del IDEP con suministro de repuestos  </t>
  </si>
  <si>
    <t xml:space="preserve">Prestación de servicio de soporte, actualización y mantenimiento al sistema de información HUMANO </t>
  </si>
  <si>
    <t xml:space="preserve">Prorroga y adición al Contrato No. 40 de 2017 Prestación de servicio de soporte, actualización y mantenimiento al sistema de información HUMANO </t>
  </si>
  <si>
    <t>SOPORTE LOGICO</t>
  </si>
  <si>
    <t>40 DE 2017</t>
  </si>
  <si>
    <t>ISBN 2018</t>
  </si>
  <si>
    <t>ITO SOFTWARE SAS.</t>
  </si>
  <si>
    <t>3120104 Materiales y suministros</t>
  </si>
  <si>
    <t>Compraventa de papelería, útiles de escritorio, artículos de oficina, toners y tintas para las impresoras del Instituto para la Investigación Educativa y el Desarrollo Pedagógico - IDEP</t>
  </si>
  <si>
    <t>saldo contrato 72 Prestar los servicios de implementación de actividades de intervención y control de factores de riesgo psicosocial y sus efectos.</t>
  </si>
  <si>
    <t>02/05/20187</t>
  </si>
  <si>
    <t>BONG BUSTAMANTE EU</t>
  </si>
  <si>
    <t>MANUFACTURAS LA FE S.A.S</t>
  </si>
  <si>
    <t>MARIO SERGIO GARCIA ANGEL</t>
  </si>
  <si>
    <t xml:space="preserve"> Prestación de servicios profesionales para apoyar la ejecución del proceso dirección y planeación que hace parte del Sistema Integrado de Gestión – SIG del IDEP, específicamente en lo relacionado con la  planeación presupuestal y estratégica.</t>
  </si>
  <si>
    <t>Adquisición de computadores y periféricos</t>
  </si>
  <si>
    <t xml:space="preserve">81112304
81112305       
81112307        
81112306        
43211711        
43222610       
43222805        
44103206       
46171500        
46171610       
46171621       
52161505        
52161555        
43191508        
45121504        
81111812       
</t>
  </si>
  <si>
    <t>saldo del contrato 73</t>
  </si>
  <si>
    <t>SOLUCTION COPY LTDA</t>
  </si>
  <si>
    <t>UNION TEMPORAL</t>
  </si>
  <si>
    <t>1,4,2</t>
  </si>
  <si>
    <t>saldo del contrao No. 76</t>
  </si>
  <si>
    <t>COMUNICACIONES E INFORMATICA SAS.</t>
  </si>
  <si>
    <t xml:space="preserve">saldo  Prestación del servicio de un canal de Internet dedicado   </t>
  </si>
  <si>
    <t>PEAR SOLUTIONS</t>
  </si>
  <si>
    <t>IFX NET WORKS COLOMBIA S.A.S</t>
  </si>
  <si>
    <t>Saldo contrato 77  Adquisición de computadores y periféricos</t>
  </si>
  <si>
    <t xml:space="preserve">Prestación de servicios para el suministro e instalación de un rack para el centro de cómputo del IDEP.  </t>
  </si>
  <si>
    <t>CAR SCANNERS S.A.</t>
  </si>
  <si>
    <t>Prestación de servicios profesionales para apoyar la Subdirección Administrativa, Financiera y de Control Disciplinario en el proceso de Gestión Financiera, efectuando las acciones de revisión y depuración de los registros y demás documentos presupuestales, contables y de tesorería, y en la proyección de informes, presentaciones y reportes relacionados con la gestión financiera del IDEP en el marco normativo vigente y para la sostenibilidad del SIG.</t>
  </si>
  <si>
    <t xml:space="preserve">saldo </t>
  </si>
  <si>
    <t>Almacén 
General</t>
  </si>
  <si>
    <t>OLGA LUCÍA SÁNCHEZ MENDIETA</t>
  </si>
  <si>
    <t>Directora General del IDEP</t>
  </si>
  <si>
    <t>CLAUDIA LUCÍA SÁENZ BLANCO</t>
  </si>
  <si>
    <t>Adición y prorroga al contrato No. 55 "Prestar servicios profesionales de apoyo a la gestión  en el análisis, consolidación y entrega de  Informes de Gestión. Así mismo, el seguimiento, control y evaluación a los reportes generados por los procesos de la Subdirección Administrativa, Financiera y de Control Interno Disciplinario del IDEP".</t>
  </si>
  <si>
    <t>Profesional 219 - 01</t>
  </si>
  <si>
    <t>Prestación de servicios profesionales para organizar y sintetizar la información requerida en la elaboración de la versión inicial de los lineamientos de un programa socioeducativo de educación para la sexualidad en el marco del estudio "Abordaje integral de la Maternidad y la Paternidad en los contextos escolares" Fase III: Línea de base.</t>
  </si>
  <si>
    <t>Profesional 222-06</t>
  </si>
  <si>
    <t>Prestación de servicios profesionales para apoyar en la organización, procesamiento y análisis de la información cualitativa del estudio "Abordaje integral de la Maternidad y la Paternidad en los contextos escolares" Fase III: Línea de base, en su etapa de aplicación operativa.</t>
  </si>
  <si>
    <t>lacuña@idep.edu.co</t>
  </si>
  <si>
    <t>Prestación de servicios profesionales para apoyar en la organización, procesamiento y análisis de la información cuantitativa del estudio "Abordaje integral de la Maternidad y la Paternidad en los contextos escolares" Fase III: Línea de base, en su etapa de aplicación operativa.</t>
  </si>
  <si>
    <t>Prestación de servicios profesionales para apoyar académica y operativamente el estudio "Abordaje integral de la Maternidad y la Paternidad en los contextos escolares" Fase III: Línea de base, en su etapa de aplicación operativa.</t>
  </si>
  <si>
    <t>Prestación de servicios profesionales para apoyar la gestión administrativa del estudio "Abordaje integral de la Maternidad y la Paternidad en los contextos escolares Fase III: Línea de base", en su etapa de aplicación operativa.</t>
  </si>
  <si>
    <t>Prestación de servicios profesionales para apoyar en las actividades de recolección de la información y el acompañamiento a las IED en los procesos relacionados con la indagación cualitativa y cuantitativa del estudio “Abordaje integral de la Maternidad y la Paternidad en los contextos escolares” Fase III: Línea de base, en su etapa de aplicación operativa.</t>
  </si>
  <si>
    <t>la@idep.edu.co</t>
  </si>
  <si>
    <t>Prestación de servicios de apoyo a la gestión para el desarrollo de actividades académicas y pedagógicas en el marco del convenio interadministrativo 488404 de 2018 para los componentes (1) Abordaje integral de la maternidad y la paternidad tempranas, (2) Educación inicial: Sistema de monitoreo de los estándares de calidad en educación inicial, (3) Innovación educativa (estrategia del ser) y (4) Reconocimiento docente.</t>
  </si>
  <si>
    <t>Prestación de servicios profesionales para apoyar la elaboración de las Tablas de Valoración Documental, como  instrumento archivístico  para la reconstrucción del contexto histórico de la producción documental del IDEP y  para el fortalecimiento a las estrategias de Comunicación, Socialización y Divulgación.</t>
  </si>
  <si>
    <t>Prestación de servicios profesionales para implementar y evaluar la segunda etapa de la experiencia piloto de la estrategia  para el desarrollo personal de los docentes del Distrito Capital y apoyar los procesos de investigación y sistematización desde la perspectiva del eje de innovación.</t>
  </si>
  <si>
    <t xml:space="preserve">Agosto   </t>
  </si>
  <si>
    <t>Prestación de servicios profesionales para implementar y evaluar la segunda etapa de la experiencia piloto de la estrategia para el desarrollo personal de los docentes del Distrito Capital y apoyar los procesos de investigación y sistematización desde la perspectiva del eje de cualificación.</t>
  </si>
  <si>
    <t>Estudio, analisis, diseño,recolección de información, procesamiento, sistematización</t>
  </si>
  <si>
    <t>se reducen No se les asigno item</t>
  </si>
  <si>
    <t>Prestación de servicios de apoyo a la gestión para la coordinación de ponencias y participación de docentes y directivos docentes en actividades académicas, pedagógicas y culturales, que permitan visibilizar, compartir, intercambiar y posicionar el conocimiento pedagógico y educativo en el marco del Convenio 488404 de 2018 en su componente 4.</t>
  </si>
  <si>
    <t>Prestación de servicios de apoyo a la gestión para fomentar la creación de la red de innovación del maestro a través de acciones y estrategias para: (1) el fortalecimiento de las redes con trayectoria y la consolidación de nuevas redes de maestros y (2) el acompañamiento a las iniciativas de investigación e innovación de los docentes, en el marco del componente Innovación Educativa del Convenio 488404 de 2018.</t>
  </si>
  <si>
    <t>Prestación de servicios profesionales para apoyar la gestión académica y administrativa de la participación de docentes en actividades culturales y académicas, la convocatoria de apoyo a redes de docentes y el evento de socialización de la Política pública para el fortalecimiento de las redes y colectivos de docentes el marco del convenio interadministrativo 488404 de 2018.</t>
  </si>
  <si>
    <t>Profesional 219-01</t>
  </si>
  <si>
    <t>Prestación de servicios para la adecuación parcial del centro de datos del IDEP </t>
  </si>
  <si>
    <t>2,5,6</t>
  </si>
  <si>
    <t>Prestación de servicios profesionales para consolidar los resultados de los estudios del proceso misional "Investigación y Desarrollo Pedagógico"  realizados en el marco del Plan de Desarrollo "Bogotá Mejor para Todos" y articularlos a las estrategias de Comunicación, Socialización y Divulgación del IDEP, para el fortalecimiento de las mismas.</t>
  </si>
  <si>
    <t>Prestación de servicios profesionales para brindar apoyo académico y operativo en los procesos y procedimientos de la segunda etapa de la experiencia piloto de la estrategia  para el desarrollo personal de los docentes del Distrito Capital.</t>
  </si>
  <si>
    <t>Prestación de servicios profesionales para apoyar a la entidad en la elaboración, desarrollo y ejecución de la estrategia para la  conceptualización de  los ambientes de aprendizaje del Centro de innovación del maestro Casa Campin en el marco del convenio interadministrativo 488404 de 2018</t>
  </si>
  <si>
    <t>Prestación de servicios profesionales para realizar el acompañamiento a los docentes y directivos docentes de colegios oficiales del Distrito, en el ajuste de su  artículo académico, en el marco de la XII versión del Premio a la Investigación e innovación educativa Nivel I</t>
  </si>
  <si>
    <t>Prestación de servicios para adelantar el proceso de evaluación de los proyectos de investigación e innovación habilitados, en la XII versión del Premio de Investigación e Innovación Educativa.</t>
  </si>
  <si>
    <t>Prestación de servicios profesionales para apoyar académicamente el proceso validación final de instrumentos y evaluación de propuestas presentadas a la XII versión del Premio a la Investigación e Innovación educativa 2018.</t>
  </si>
  <si>
    <t>Prestación de servicios profesionales para realizar el acompañamiento a los docentes y directivos docentes de colegios oficiales del Distrito, en el ajuste de su  artículo académico, en el marco de la XII versión del Premio a la Investigación e innovación educativa Nivel II</t>
  </si>
  <si>
    <t>Asesor 105 -02</t>
  </si>
  <si>
    <t>Convenio 488404 de 2018 SECRETARIA DE EDUCACIÓN DISTRITAL</t>
  </si>
  <si>
    <t>Contratación directa (Selección de oferta)</t>
  </si>
  <si>
    <t xml:space="preserve">Contratación directa </t>
  </si>
  <si>
    <t>Profesional 219 -01  Alexandra Diaz Najar</t>
  </si>
  <si>
    <t>Prestación de servicios profesionales para orientar académicamente la ampliación de la aplicación del estudio "Sistema de Monitoreo de estándares de calidad en Educación Inicial y seguimiento a sus resultados", incluyendo la sostenibilidad del Sistema y su complemento con una propuesta de evaluación de calidad en educación inicial.</t>
  </si>
  <si>
    <t>Prestación de servicios profesionales para efectuar la indagación cualitativa y cuantitativa, y acompañar en la lectura de resultados a Instituciones Educativas Distritales (IED) para la elaboración de planes de mejora en la ampliación de la aplicación del Sistema de Monitoreo de estándares de calidad en Educación Inicial</t>
  </si>
  <si>
    <t>Prestación de Servicios Profesionales para apoyar en la elaboración de notas técnicas y primeros capítulos de un libro que dé cuenta de la aplicación del Sistema de monitoreo de los estándares de educación inicial.</t>
  </si>
  <si>
    <t>Prestación de servicios profesionales para apoyar en la organización, procesamiento y análisis inicial de la información cuantitativa de la ampliación del estudio de aplicación del Sistema de Monitoreo de estándares de calidad en Educación Inicial y seguimiento a sus resultados.</t>
  </si>
  <si>
    <t>Prestación de servicios profesionales para apoyar en la organización, procesamiento y análisis de la información cualitativa de la ampliación del estudio de aplicación del Sistema de Monitoreo de estándares de calidad en Educación Inicial y seguimiento a sus resultados, incluyendo la indagación a familias y cuidadores.</t>
  </si>
  <si>
    <t>Prestación de servicios profesionales para realizarel análisis estadístico de segundo nivel de la ampliación del estudio de aplicación del Sistema de Monitoreo de estándares de calidad en Educación Inicial y seguimiento a sus resultados.</t>
  </si>
  <si>
    <t>Prestación de servicios profesionales para apoyar el análisis sustantivo de la información cuantitativa y la elaboración de documentos derivados de este en la ampliación del estudio de aplicación del Sistema de Monitoreo de estándares de calidad en Educación Inicial y seguimiento a sus resultados, incluyendo la indagación a familias y cuidadores.</t>
  </si>
  <si>
    <t>Realizar la revisión internacional para la elaboración del marco de referencia de una propuesta de estructura de especificaciones para la evaluación de calidad de la educación inicial en el marco del Proyecto de Inversión 1050.</t>
  </si>
  <si>
    <t>Prestación de servicios profesionales para realizar la revisión nacional para la elaboración del marco de referencia de una propuesta de estructura de especificaciones para la evaluación de calidad de la educación inicial en el marco del Proyecto de Inversión 1050 y aportar al documento de institucionalización y sostenibilidad del Sistema.</t>
  </si>
  <si>
    <t>Prestación de servicios profesionales para apoyar la gestión académica y administrativa de la ampliación del estudio de aplicación del Sistema de Monitoreo de estándares de calidad en Educación Inicial y seguimiento a sus resultados.</t>
  </si>
  <si>
    <t>Prestación de servicios profesionales para apoyar el seguimiento a la gestión operativa de la ampliación del estudio de aplicación del Sistema de Monitoreo de estándares de calidad en Educación Inicial y seguimiento a sus resultados.</t>
  </si>
  <si>
    <t>Prestación de servicios profesionales para ejecutar la estrategia de comunicación y movilización social de la ampliación del estudio de aplicación del Sistema de Monitoreo de estándares de calidad en Educación Inicial y seguimiento a sus resultados.</t>
  </si>
  <si>
    <t>Subdirector Académico</t>
  </si>
  <si>
    <t>Asesor 105 - 03</t>
  </si>
  <si>
    <t>Profesional 222 -07</t>
  </si>
  <si>
    <t>Prestación de servicios profesionales para apoyar la gestión administrativa de la XII versión del Premio a la Investigación e Innovación educativa 2018 y las convocatorias de apoyo para la  formación y consolidación de redes de docentes y semilleros de investigación e innovación en el marco del convenio interadministrativo 488404 de 2018.</t>
  </si>
  <si>
    <t>Grupo Misional Subdirección Académica
Convenio 488404 de 2018 SECRETARIA DE EDUCACIÓN DISTRITAL</t>
  </si>
  <si>
    <t>2.4 y
2.6.27.09</t>
  </si>
  <si>
    <t>Estudios, análisis, diseño, recolección de información, procesamiento, sistematización y PAGOS BAJO EL CONVENIO 488404 Secretaria Educación Distrital 2018</t>
  </si>
  <si>
    <t xml:space="preserve">
2.6.27.09</t>
  </si>
  <si>
    <t>PAGOS BAJO EL CONVENIO 488404 Secretaria Educación Distrital 2018</t>
  </si>
  <si>
    <t>2,5,14</t>
  </si>
  <si>
    <t>2.6.27.09</t>
  </si>
  <si>
    <t>2.6.27.9</t>
  </si>
  <si>
    <t>PAGOS BAJO EL CONVENIO 488404 Secretaria Educación Distrital 2019</t>
  </si>
  <si>
    <t>Prestación de servicos profesionales para apoyar con orientaciones técnicas en la implementación de las actividades a desarrollar en el centro de innovación del maestro Casa Campín.</t>
  </si>
  <si>
    <t>GLADYS MARIA AMAYA</t>
  </si>
  <si>
    <t>MARIA FERNANDA MORENO MUÑOZ</t>
  </si>
  <si>
    <t>55421715,44111525,44122011,31201512,60105704,31201512,44103103,44103105,44103104</t>
  </si>
  <si>
    <t>Profesional Especializado 222-07</t>
  </si>
  <si>
    <t>%</t>
  </si>
  <si>
    <t>NELSON MUÑOZ SANCHEZ</t>
  </si>
  <si>
    <t>ORGANIZACIÓN SIMPLEX S.A.S</t>
  </si>
  <si>
    <t>LINDA CASAS SABOGAL</t>
  </si>
  <si>
    <t>MARINA BERNAL GOMEZ</t>
  </si>
  <si>
    <t>JOHN RINCON HOLGUIN</t>
  </si>
  <si>
    <t>JUAN NUMPAQUE FONSECA</t>
  </si>
  <si>
    <t>OSCAR SEGURA MARTINEZ</t>
  </si>
  <si>
    <t>MELINA ESCOBAR DUQUE</t>
  </si>
  <si>
    <t>CRISTHIAN CALDERON RUBIO</t>
  </si>
  <si>
    <t>KAREN MALAGON RUBIO</t>
  </si>
  <si>
    <t>OSCAR GONZALEZ AGUIRRE</t>
  </si>
  <si>
    <t>ADRINA CASTRO ROJAS</t>
  </si>
  <si>
    <t>CAMILO LOPEZ GUARIN</t>
  </si>
  <si>
    <t>JOHN CALDERON RODRIGUEZ</t>
  </si>
  <si>
    <t>ROCIO BARAJAS SIERRA</t>
  </si>
  <si>
    <t>PAULA FUENTES BAENA</t>
  </si>
  <si>
    <t>ADRY MANRRIQUE LAGOS</t>
  </si>
  <si>
    <t>JAIME PARRA RODRIGUEZ</t>
  </si>
  <si>
    <t>FUNDACION UNIVERSITARIA CAFAM</t>
  </si>
  <si>
    <t>1,5,2</t>
  </si>
  <si>
    <t>Materias primas</t>
  </si>
  <si>
    <t>14111513- 45101603</t>
  </si>
  <si>
    <t>30303
3020418001</t>
  </si>
  <si>
    <t>CORPOEDUCACION</t>
  </si>
  <si>
    <t>MARGARITA MARIA  PULGARIN REYES</t>
  </si>
  <si>
    <t>29/08/2018,</t>
  </si>
  <si>
    <t>CORPORACION MAGISTRIO</t>
  </si>
  <si>
    <t>Saldo según acta de liquidación No. 199 de 14 de agosto de 2018 del contrato NO. 59 con corpoeducación</t>
  </si>
  <si>
    <t>TOTAL COMPONENTE No. 1 : Seguimiento a la política Educativa Distrital en los contextos escolares, ajustado e implementado</t>
  </si>
  <si>
    <t>CLAUDIA LUCIA SAÉNZ  BLANCO</t>
  </si>
  <si>
    <t>OLGA  LUCÍA  SANCHEZ MENDIETA</t>
  </si>
  <si>
    <t>Jefe Oficina  Asesora de Planeación</t>
  </si>
  <si>
    <t>Prestación de servicios para realizar el mantenimiento preventivo y correctivo que conforman la infraestructura tecnológica del IDEP</t>
  </si>
  <si>
    <t>DIANA URUEÑA MARIÑO</t>
  </si>
  <si>
    <t>saldo contrato No 114 Adquirir insumos gráficos para la impresión de publicaciones del Instituto para la Investigación Educativa y el Desarrollo Pedagógico, IDEP, conforme las especificaciones técnicas señaladas</t>
  </si>
  <si>
    <t>PAPELERIA LOS ANDES LTDA</t>
  </si>
  <si>
    <t xml:space="preserve">saldo del contrato 79 Prestación de servicios de mantenimiento preventivo y correctivo del parque automotor del IDEP con suministro de repuestos  </t>
  </si>
  <si>
    <t>saldo contrato 74 Prestación de los servicios de aseo y cafetería, con suministro de insumos, en las instalaciones del Instituto para la Investigación Educativa y el Desarrollo Pedagógico - IDEP.</t>
  </si>
  <si>
    <t>saldo contrato 75 de 2018 Alquiler de tres (3) máquinas multifuncionales de fotocopiado que presten el servicio</t>
  </si>
  <si>
    <t>DELL COLOMBIA INC</t>
  </si>
  <si>
    <t>15101506  25172504 78181506</t>
  </si>
  <si>
    <t>Prestación de servicios profesionales para apoyar a la Subdirección Académica en la coordinación, desarrollo de proyectos y estrategias en el marco de los 25 años del IDEP, que permitan visibilizar, compartir, intercambiar y posicionar el conocimiento pedagógico y educativo generado, articulando la memoria institucional con el fortalecimiento de las comunidades de saber y de práctica pedagógica.</t>
  </si>
  <si>
    <t>Prestación de servicios profesionales para la estructuración de la caja de herramientas del pensador crítico para docentes y estudiantes a partir de la búsqueda y clasificación documental en los ámbitos internacional, nacional e institucional de estudios que aporten insumos para el desarrollo del pensamiento crítico.</t>
  </si>
  <si>
    <t>81112007-81112009</t>
  </si>
  <si>
    <t xml:space="preserve"> Prestar los servicios de apoyo operativo para realizar actividades relacionadas con la gestión administrativa en la subdirección Administrativa, Financiera y de Control Disciplinario</t>
  </si>
  <si>
    <t>Compra de discos duros para servidores y NAS del IDEP.</t>
  </si>
  <si>
    <t>Grupo de Sistemas de información</t>
  </si>
  <si>
    <t>1,1,1,7</t>
  </si>
  <si>
    <t>Materiales de computación y comunicación</t>
  </si>
  <si>
    <t>Prestación de servicios profesionales para normalizar y registrar los metadatos de hasta 1200 objetos digiales de acuerdo con el esquema Dublin Core.</t>
  </si>
  <si>
    <t>mbernal@idep.edu.co</t>
  </si>
  <si>
    <t>DANIEL TORRES PAEZ</t>
  </si>
  <si>
    <t>RIGOBERTO SOLANO SALINAS</t>
  </si>
  <si>
    <t>UNIVERSIDAD DISTITAL FRANCISCO JOSE DE CALDAS</t>
  </si>
  <si>
    <t>VIVIANANNE GUTIERREZ RINCON</t>
  </si>
  <si>
    <t>Realizar cuatro (4) Estudios Escuela Currículo y Pedagogía, Educación y políticas públicas y Cualificación docente componente de cualificación, investigación e innovación docente: Comunidades de saber y de práctica pedagógica.</t>
  </si>
  <si>
    <t>BUSCAR SOLUCIONES INTEGRALES</t>
  </si>
  <si>
    <t xml:space="preserve">Estudio sobre la operacionalización del programa de pensamiento critico en el centro de innovación  Casa Campin </t>
  </si>
  <si>
    <t xml:space="preserve"> Investigación e innovación: Un marco de referencia para el Premio a la Investigación e Innovación Educativa.</t>
  </si>
  <si>
    <t>81111803-72103302-43223303-43223306-4322305-43223308-43222309-13223302</t>
  </si>
  <si>
    <t>Adición al contrato No. 34 Prestación de servicios para realizar el diseño, la edición y diagramación de libros en la vigencia 2018, de la serie editorial del Instituto para la Investigación Educativa y el Desarrollo Pedagógico.</t>
  </si>
  <si>
    <t xml:space="preserve">Prestación de servicios de apoyo operativo para realizar la organización, embalaje y rotulación de los documentos relacionados con la producción documental del IDEP en desarrollo de sus actividades misionales. </t>
  </si>
  <si>
    <t>Profesional 222-03</t>
  </si>
  <si>
    <t>Prestación de servicios técnicos para realizar la actualización del inventario y formalizar la transferencia al archivo central de los documentos relacionados con la producción del IDEP en desarrollo de sus actividades misionales.</t>
  </si>
  <si>
    <t>Prestar los servicios de apoyo operativo para realizar actividades relacionadas con la gestión administrativa de la Subdirección Académica en la actividad de Comunicación, Socialización y Divulgación.</t>
  </si>
  <si>
    <t>diciembre</t>
  </si>
  <si>
    <t>MARIA JIMENA DIAZ DIAZ</t>
  </si>
  <si>
    <t>Adición y prorroga No.1 del 2018 a la carta de aceptación de la oferta No. 119 de 2018 Suministro de combustible (Gasolina y Gas vehicular), mediante el sistema electrónico de control (microchip) programable, llantas para los vehículos del IDEP.</t>
  </si>
  <si>
    <t>Prestación de servicios para realizar el mantenimiento del cableado estructurado del centro de Datos y del cuarto de comunicaciones del IDEP</t>
  </si>
  <si>
    <t>Contratación directa con oferta</t>
  </si>
  <si>
    <t>METABIBLIOTECAS SAS</t>
  </si>
  <si>
    <t>SALDO DEL CONTRATO No. 124Prestación de servicios profesionales para normalizar y registrar los metadatos de hasta 1200 objetos digiales de acuerdo con el esquema Dublin Core.</t>
  </si>
  <si>
    <t>OLGA LUCIA SUAREZ RODRIGUEZ</t>
  </si>
  <si>
    <t>JUAN NICOLAS JIMENEZ SANCHEZ</t>
  </si>
  <si>
    <t>Adquisición de mesa múltiple para computador</t>
  </si>
  <si>
    <t>1,1,1,12</t>
  </si>
  <si>
    <t>saldo</t>
  </si>
  <si>
    <t>RICARDO SAAVEDRA</t>
  </si>
  <si>
    <t>Pendiente por CDP</t>
  </si>
  <si>
    <t>Adición al contrato No. 76 Prestación de servicios para realizar el mantenimiento preventivo y correctivo que conforman la infraestructura tecnológica del IDEP</t>
  </si>
  <si>
    <t>saldo de Compraventa de papelería, útiles de escritorio, artículos de oficina, toners y tintas para las impresoras del Instituto para la Investigación Educativa y el Desarrollo Pedagógico - IDEP</t>
  </si>
  <si>
    <t>Adición y prorroga No.1  al contrato No. 1120 del 2017 Contratar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</si>
  <si>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 xml:space="preserve">Prorroga No. 1 al contrato No. 109 de 2017 Contratar la prestacion de servicio de intermediación de seguros, asesoria integral en el manejo del programa de seguros que el Instituto para la Investigación Educativa y el Desarrollo Pedagogico - IDEP, requiera para la protección y cubrimiento de los riesgos a las personas, los bienes muebles e inmuebles, asi como de los activos e intereses patrimoniales de su propiedad y aquellos que esten bajo su responsabilidad, o por los que llegare a ser responsable  </t>
  </si>
  <si>
    <t xml:space="preserve">saldo  Expedición de los certificados de firma digital para la Ordenadora del gasto y el responsable de presupuesto. </t>
  </si>
  <si>
    <t>Prestación de servicios para la instalación, configuración y puesta en funcionamiento de un sistema de información que soporte la gestión financiera del IDEP</t>
  </si>
  <si>
    <t>2,5,6
1,4,2</t>
  </si>
  <si>
    <t>Minima cuantia</t>
  </si>
  <si>
    <t>43222500
43222600
81111800
81112200
4323200</t>
  </si>
  <si>
    <t>Grupos sistema de información</t>
  </si>
  <si>
    <t>2,5,6
1,4,2
2,6,15</t>
  </si>
  <si>
    <t>Selecci{on abreviada subasta inversa</t>
  </si>
  <si>
    <t>CCE-</t>
  </si>
  <si>
    <t>ESTACION DE SERVICIO CARRERA 50 SAS.</t>
  </si>
  <si>
    <t>saldo Membrecía anual (2018) al Consejo Latinoamericano de Ciencias Sociales- CLACSO</t>
  </si>
  <si>
    <t>Saldo contrato No.125 Prestación de servicios profesionales  para  realizar  la capacitación a los servidores y servidoras del  IDEP</t>
  </si>
  <si>
    <t>ISS TECHOLOGY SOLUCTIONS SAS</t>
  </si>
  <si>
    <t>SALDO CONTRTO 128 Prestación de servicios para la instalación, configuración y puesta en funcionamiento de un sistema de información que soporte la gestión financiera del IDEP</t>
  </si>
  <si>
    <t>ModificacIÓN resupuestal</t>
  </si>
  <si>
    <t>Prestación de servicios para el suministro, instalación, configuración, soporte técnico y puesta en marcha de las licencias de antivirus y renovación de las licencias del firewall del IDEP</t>
  </si>
  <si>
    <t>LUISA FERNANDA ACUÑA</t>
  </si>
  <si>
    <t>ASEGURADORA SOLIDARIA DE COLOMBIA</t>
  </si>
  <si>
    <t>GRUPO LABORAL OCUPACIONAL S.A.S.</t>
  </si>
  <si>
    <t>52161551
45111801
26111704
26111701 
43201827</t>
  </si>
  <si>
    <t>1,1,7</t>
  </si>
  <si>
    <t>saldoPrestación de servicios para realizar los exámenes médico ocupacionales para los servidores del IDEP.</t>
  </si>
  <si>
    <t>Adquisición de elementos ergonomicos que demanda los programas de Sistema de Seguridad y salud en el trabajo</t>
  </si>
  <si>
    <t>2,6,23</t>
  </si>
  <si>
    <t>Adición a la orden de compra No 131 del 13 de diciembre de 2018, AdquIsición de un (1) sistema de micrófono inalámbrico de solapa, un (1) presentador inalámbrico con puntero láser, tres (3) juegos de cargador y pilas recargables y un (1) disco duro de tres (3) TB para contar con las herramientas tecnológicas en el desarrollo de las actividades de comunicación, socialización y divulgación del IDEP.</t>
  </si>
  <si>
    <t>Adquisición de un (1) sistema de micrófono inalámbrico de solapa, un (1) presentador inalámbrico con puntero láser, tres (3) juegos de cargador y pilas recargables y un (1) disco duro de tres (3) TB para contar con las herramientas tecnológicas en el desarrollo de las actividades de comunicación, socialización y divulgación del IDEP.</t>
  </si>
  <si>
    <t>52161551
45111801
26111704
26111701 
43201826</t>
  </si>
  <si>
    <t>1,1.7</t>
  </si>
  <si>
    <t>IT GOP SAS</t>
  </si>
  <si>
    <t xml:space="preserve">Compra de licencias para herramientas ofimaticas </t>
  </si>
  <si>
    <t>ALKOSTO</t>
  </si>
  <si>
    <t>ITSELLCON SEGURIDAD</t>
  </si>
  <si>
    <t>Adición al contrato No.Prestación de servicios profesionales para apoyar la Subdirección Administrativa, Financiera y de Control Disciplinario en el proceso de Gestión Financiera, efectuando las acciones de revisión y depuración de los registros y demás documentos presupuestales, contables y de tesorería, y en la proyección de informes, presentaciones y reportes relacionados con la gestión financiera del IDEP en el marco normativo vigente y para la sostenibilidad del SIG.</t>
  </si>
  <si>
    <t>PANAMERICANA</t>
  </si>
  <si>
    <t>Código</t>
  </si>
  <si>
    <t xml:space="preserve">Modalidad de selección </t>
  </si>
  <si>
    <t>CCE-01</t>
  </si>
  <si>
    <t>Solicitud de información a los Proveedores</t>
  </si>
  <si>
    <t>Licitación pública</t>
  </si>
  <si>
    <t>CCE-17</t>
  </si>
  <si>
    <t>Licitación pública (Obra pública)</t>
  </si>
  <si>
    <t>Contratación directa (con ofertas)</t>
  </si>
  <si>
    <t>CCE-18-Seleccion_Abreviada_Menor_Cuantia_Sin_Manifestacion_Interes</t>
  </si>
  <si>
    <t>Selección Abreviada de Menor Cuantia sin Manifestacion de Interés</t>
  </si>
  <si>
    <t>CCE-11||01</t>
  </si>
  <si>
    <t>Contratación régimen especial - Selección de comisionista</t>
  </si>
  <si>
    <t>CCE-11||02</t>
  </si>
  <si>
    <t>Contratación régimen especial - Enajenación de bienes para intermediarios idóneos</t>
  </si>
  <si>
    <t>CCE-11||03</t>
  </si>
  <si>
    <t>Contratación régimen especial - Régimen especial</t>
  </si>
  <si>
    <t>CCE-11||04</t>
  </si>
  <si>
    <t>Contratación régimen especial - Banco multilateral y organismos multilaterales</t>
  </si>
  <si>
    <t>CCE-15||01</t>
  </si>
  <si>
    <t>Contratación régimen especial (con ofertas) - Selección de comisionista</t>
  </si>
  <si>
    <t>CCE-15||02</t>
  </si>
  <si>
    <t>Contratación régimen especial (con ofertas) - Enajenación de bienes para intermediarios idóneos</t>
  </si>
  <si>
    <t>CCE-15||03</t>
  </si>
  <si>
    <t>Contratación régimen especial (con ofertas) - Régimen especial</t>
  </si>
  <si>
    <t>CCE-15||04</t>
  </si>
  <si>
    <t>Contratación régimen especial (con ofertas) - Banco multilateral y organismos multilaterales</t>
  </si>
  <si>
    <t>CCE-16</t>
  </si>
  <si>
    <t>Seléccion abreviada - acuerdo marco</t>
  </si>
  <si>
    <t xml:space="preserve">Seguimiento a 31 de Diciembre de 2018  </t>
  </si>
  <si>
    <t xml:space="preserve">Ejecución con corte al 31/12/2018 </t>
  </si>
  <si>
    <t>Fortalecimiento a la Gestión Institucional</t>
  </si>
  <si>
    <t xml:space="preserve">
JULIANA GUTIERREZ SOLANO</t>
  </si>
  <si>
    <t>CARLOS GERMÁN PLAZAS BONILLA</t>
  </si>
  <si>
    <t>ADRIANA DIAZ IZQUIERDO</t>
  </si>
  <si>
    <t>Jefe Oficina Asesora Jurídica</t>
  </si>
  <si>
    <t>ANDREA SARMIENTO BOHORQUEz</t>
  </si>
  <si>
    <t xml:space="preserve">JORGE ORLANDO CASTRO </t>
  </si>
  <si>
    <t>panamericana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</si>
</sst>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5" formatCode="&quot;$&quot;#,##0;\-&quot;$&quot;#,##0"/>
    <numFmt numFmtId="6" formatCode="&quot;$&quot;#,##0;[Red]\-&quot;$&quot;#,##0"/>
    <numFmt numFmtId="8" formatCode="&quot;$&quot;#,##0.00;[Red]\-&quot;$&quot;#,##0.00"/>
    <numFmt numFmtId="44" formatCode="_-&quot;$&quot;* #,##0.00_-;\-&quot;$&quot;* #,##0.00_-;_-&quot;$&quot;* &quot;-&quot;??_-;_-@_-"/>
    <numFmt numFmtId="164" formatCode="_(* #,##0.00_);_(* \(#,##0.00\);_(* &quot;-&quot;??_);_(@_)"/>
    <numFmt numFmtId="165" formatCode="&quot;$&quot;\ #,##0_);[Red]\(&quot;$&quot;\ #,##0\)"/>
    <numFmt numFmtId="166" formatCode="&quot;$&quot;\ #,##0.00_);\(&quot;$&quot;\ #,##0.00\)"/>
    <numFmt numFmtId="167" formatCode="_(&quot;$&quot;\ * #,##0_);_(&quot;$&quot;\ * \(#,##0\);_(&quot;$&quot;\ * &quot;-&quot;_);_(@_)"/>
    <numFmt numFmtId="168" formatCode="_(&quot;$&quot;\ * #,##0.00_);_(&quot;$&quot;\ * \(#,##0.00\);_(&quot;$&quot;\ * &quot;-&quot;??_);_(@_)"/>
    <numFmt numFmtId="169" formatCode="_(&quot;$ &quot;* #,##0_);_(&quot;$ &quot;* \(#,##0\);_(&quot;$ &quot;* \-_);_(@_)"/>
    <numFmt numFmtId="170" formatCode="_(* #,##0.00_);_(* \(#,##0.00\);_(* \-??_);_(@_)"/>
    <numFmt numFmtId="171" formatCode="_(* #,##0_);_(* \(#,##0\);_(* \-??_);_(@_)"/>
    <numFmt numFmtId="172" formatCode="_(&quot;$&quot;\ * #,##0_);_(&quot;$&quot;\ * \(#,##0\);_(&quot;$&quot;\ * &quot;-&quot;??_);_(@_)"/>
    <numFmt numFmtId="173" formatCode="_(* #,##0_);_(* \(#,##0\);_(* &quot;-&quot;??_);_(@_)"/>
    <numFmt numFmtId="174" formatCode="_(* #,##0.0_);_(* \(#,##0.0\);_(* &quot;-&quot;??_);_(@_)"/>
    <numFmt numFmtId="175" formatCode="_(* #,##0.0_);_(* \(#,##0.0\);_(* &quot;-&quot;?_);_(@_)"/>
    <numFmt numFmtId="176" formatCode="0.0%"/>
    <numFmt numFmtId="177" formatCode="&quot;$&quot;\ #,##0"/>
    <numFmt numFmtId="178" formatCode="d/mm/yyyy;@"/>
    <numFmt numFmtId="179" formatCode="_-&quot;$&quot;* #,##0_-;\-&quot;$&quot;* #,##0_-;_-&quot;$&quot;* &quot;-&quot;??_-;_-@_-"/>
    <numFmt numFmtId="180" formatCode="#,##0_ ;\-#,##0\ "/>
    <numFmt numFmtId="181" formatCode="_-&quot;$&quot;* #,##0.00_-;\-&quot;$&quot;* #,##0.00_-;_-&quot;$&quot;* &quot;-&quot;??_-;_-@"/>
    <numFmt numFmtId="182" formatCode="_-* #,##0.00_-;\-* #,##0.00_-;_-* &quot;-&quot;??_-;_-@"/>
    <numFmt numFmtId="183" formatCode="_-&quot;$&quot;* #,##0_-;\-&quot;$&quot;* #,##0_-;_-&quot;$&quot;* &quot;-&quot;??_-;_-@"/>
    <numFmt numFmtId="184" formatCode="_(* #,##0.0_);_(* \(#,##0.0\);_(* \-??_);_(@_)"/>
  </numFmts>
  <fonts count="61" x14ac:knownFonts="1">
    <font>
      <sz val="11"/>
      <color indexed="63"/>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indexed="63"/>
      <name val="Calibri"/>
      <family val="2"/>
      <charset val="1"/>
    </font>
    <font>
      <b/>
      <sz val="10"/>
      <name val="Arial"/>
      <family val="2"/>
    </font>
    <font>
      <sz val="10"/>
      <name val="Arial"/>
      <family val="2"/>
    </font>
    <font>
      <sz val="10"/>
      <color indexed="63"/>
      <name val="Arial"/>
      <family val="2"/>
    </font>
    <font>
      <sz val="10"/>
      <color indexed="8"/>
      <name val="Arial"/>
      <family val="2"/>
    </font>
    <font>
      <i/>
      <sz val="10"/>
      <color indexed="8"/>
      <name val="Arial"/>
      <family val="2"/>
    </font>
    <font>
      <sz val="10"/>
      <color indexed="8"/>
      <name val="Calibri"/>
      <family val="2"/>
    </font>
    <font>
      <sz val="11"/>
      <color theme="1"/>
      <name val="Calibri"/>
      <family val="2"/>
      <scheme val="minor"/>
    </font>
    <font>
      <sz val="10"/>
      <color theme="1"/>
      <name val="Arial"/>
      <family val="2"/>
    </font>
    <font>
      <b/>
      <sz val="10"/>
      <color theme="1"/>
      <name val="Arial"/>
      <family val="2"/>
    </font>
    <font>
      <b/>
      <sz val="10"/>
      <color rgb="FF000000"/>
      <name val="Arial"/>
      <family val="2"/>
    </font>
    <font>
      <b/>
      <sz val="10"/>
      <color rgb="FFFF0000"/>
      <name val="Arial"/>
      <family val="2"/>
    </font>
    <font>
      <sz val="10"/>
      <color rgb="FFFF0000"/>
      <name val="Arial"/>
      <family val="2"/>
    </font>
    <font>
      <b/>
      <sz val="10"/>
      <color theme="3"/>
      <name val="Arial"/>
      <family val="2"/>
    </font>
    <font>
      <sz val="10"/>
      <color rgb="FF222222"/>
      <name val="Arial"/>
      <family val="2"/>
    </font>
    <font>
      <b/>
      <sz val="10"/>
      <color rgb="FF002060"/>
      <name val="Arial"/>
      <family val="2"/>
    </font>
    <font>
      <sz val="10"/>
      <color rgb="FF002060"/>
      <name val="Arial"/>
      <family val="2"/>
    </font>
    <font>
      <sz val="10"/>
      <color rgb="FF000000"/>
      <name val="Arial"/>
      <family val="2"/>
    </font>
    <font>
      <b/>
      <i/>
      <sz val="10"/>
      <color theme="1"/>
      <name val="Arial"/>
      <family val="2"/>
    </font>
    <font>
      <sz val="11"/>
      <color indexed="8"/>
      <name val="Calibri"/>
      <family val="2"/>
    </font>
    <font>
      <sz val="11"/>
      <color indexed="8"/>
      <name val="Arial"/>
      <family val="2"/>
    </font>
    <font>
      <sz val="9"/>
      <color rgb="FF000000"/>
      <name val="Arial"/>
      <family val="2"/>
    </font>
    <font>
      <b/>
      <sz val="9"/>
      <name val="Arial"/>
      <family val="2"/>
    </font>
    <font>
      <sz val="9"/>
      <name val="Arial"/>
      <family val="2"/>
    </font>
    <font>
      <u/>
      <sz val="11"/>
      <color theme="10"/>
      <name val="Calibri"/>
      <family val="2"/>
      <charset val="1"/>
    </font>
    <font>
      <sz val="9"/>
      <name val="Calibri"/>
      <family val="2"/>
      <scheme val="minor"/>
    </font>
    <font>
      <b/>
      <sz val="10"/>
      <color theme="1"/>
      <name val="Verdana"/>
      <family val="2"/>
    </font>
    <font>
      <sz val="12"/>
      <name val="Arial"/>
      <family val="2"/>
    </font>
    <font>
      <u/>
      <sz val="10"/>
      <color theme="10"/>
      <name val="Calibri"/>
      <family val="2"/>
      <charset val="1"/>
    </font>
    <font>
      <sz val="10"/>
      <color indexed="63"/>
      <name val="Calibri"/>
      <family val="2"/>
      <charset val="1"/>
    </font>
    <font>
      <sz val="10"/>
      <color theme="0"/>
      <name val="Arial"/>
      <family val="2"/>
    </font>
    <font>
      <u/>
      <sz val="9"/>
      <name val="Arial"/>
      <family val="2"/>
    </font>
    <font>
      <sz val="9"/>
      <color rgb="FFFF0000"/>
      <name val="Arial"/>
      <family val="2"/>
    </font>
    <font>
      <sz val="9"/>
      <color indexed="81"/>
      <name val="Tahoma"/>
      <family val="2"/>
    </font>
    <font>
      <b/>
      <sz val="9"/>
      <color indexed="81"/>
      <name val="Tahoma"/>
      <family val="2"/>
    </font>
    <font>
      <b/>
      <sz val="11"/>
      <name val="Arial"/>
      <family val="2"/>
    </font>
    <font>
      <sz val="11"/>
      <name val="Arial"/>
      <family val="2"/>
    </font>
    <font>
      <b/>
      <sz val="11"/>
      <color indexed="63"/>
      <name val="Calibri"/>
      <family val="2"/>
    </font>
    <font>
      <sz val="11"/>
      <color rgb="FF000000"/>
      <name val="Arial"/>
      <family val="2"/>
    </font>
    <font>
      <sz val="11"/>
      <color rgb="FF000000"/>
      <name val="Arial"/>
      <family val="2"/>
    </font>
    <font>
      <sz val="9"/>
      <color rgb="FF00B0F0"/>
      <name val="Arial"/>
      <family val="2"/>
    </font>
    <font>
      <sz val="8"/>
      <color theme="1"/>
      <name val="Arial"/>
      <family val="2"/>
      <charset val="204"/>
    </font>
    <font>
      <sz val="12"/>
      <color theme="1"/>
      <name val="Arial"/>
      <family val="2"/>
    </font>
    <font>
      <b/>
      <sz val="12"/>
      <color theme="1"/>
      <name val="Arial"/>
      <family val="2"/>
    </font>
    <font>
      <b/>
      <sz val="12"/>
      <name val="Arial"/>
      <family val="2"/>
    </font>
    <font>
      <sz val="10"/>
      <name val="Arial"/>
      <family val="2"/>
      <charset val="204"/>
    </font>
    <font>
      <b/>
      <sz val="8"/>
      <color indexed="81"/>
      <name val="Tahoma"/>
      <family val="2"/>
    </font>
    <font>
      <sz val="8"/>
      <color indexed="81"/>
      <name val="Tahoma"/>
      <family val="2"/>
    </font>
    <font>
      <b/>
      <sz val="9"/>
      <color rgb="FFFF0000"/>
      <name val="Arial"/>
      <family val="2"/>
    </font>
    <font>
      <sz val="8"/>
      <name val="Arial"/>
      <family val="2"/>
      <charset val="204"/>
    </font>
    <font>
      <u/>
      <sz val="10"/>
      <name val="Arial"/>
      <family val="2"/>
    </font>
    <font>
      <b/>
      <sz val="8"/>
      <name val="Arial"/>
      <family val="2"/>
    </font>
    <font>
      <sz val="9"/>
      <color theme="0"/>
      <name val="Arial"/>
      <family val="2"/>
    </font>
    <font>
      <sz val="10"/>
      <color rgb="FFFF0000"/>
      <name val="Calibri"/>
      <family val="2"/>
      <charset val="1"/>
    </font>
    <font>
      <sz val="11"/>
      <color rgb="FFFF0000"/>
      <name val="Calibri"/>
      <family val="2"/>
      <charset val="1"/>
    </font>
    <font>
      <b/>
      <sz val="11"/>
      <name val="Calibri"/>
      <family val="2"/>
    </font>
    <font>
      <sz val="10"/>
      <color theme="1"/>
      <name val="Verdana"/>
      <family val="2"/>
    </font>
  </fonts>
  <fills count="46">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rgb="FFFFC00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0000"/>
        <bgColor indexed="64"/>
      </patternFill>
    </fill>
    <fill>
      <patternFill patternType="solid">
        <fgColor rgb="FF00B0F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FF"/>
        <bgColor rgb="FFFFFFFF"/>
      </patternFill>
    </fill>
    <fill>
      <patternFill patternType="solid">
        <fgColor theme="0"/>
        <bgColor indexed="22"/>
      </patternFill>
    </fill>
    <fill>
      <patternFill patternType="solid">
        <fgColor rgb="FFFFFF00"/>
        <bgColor indexed="13"/>
      </patternFill>
    </fill>
    <fill>
      <patternFill patternType="solid">
        <fgColor rgb="FFFFFF00"/>
        <bgColor indexed="34"/>
      </patternFill>
    </fill>
    <fill>
      <patternFill patternType="solid">
        <fgColor rgb="FFFFC000"/>
        <bgColor indexed="22"/>
      </patternFill>
    </fill>
    <fill>
      <patternFill patternType="solid">
        <fgColor theme="0"/>
        <bgColor indexed="13"/>
      </patternFill>
    </fill>
    <fill>
      <patternFill patternType="solid">
        <fgColor rgb="FFFFFF00"/>
        <bgColor indexed="22"/>
      </patternFill>
    </fill>
    <fill>
      <patternFill patternType="solid">
        <fgColor rgb="FFFFC000"/>
        <bgColor indexed="40"/>
      </patternFill>
    </fill>
    <fill>
      <patternFill patternType="solid">
        <fgColor rgb="FF92D050"/>
        <bgColor indexed="13"/>
      </patternFill>
    </fill>
    <fill>
      <patternFill patternType="solid">
        <fgColor rgb="FFFFC000"/>
        <bgColor indexed="13"/>
      </patternFill>
    </fill>
    <fill>
      <patternFill patternType="solid">
        <fgColor rgb="FF92D050"/>
        <bgColor rgb="FFFFFFFF"/>
      </patternFill>
    </fill>
    <fill>
      <patternFill patternType="solid">
        <fgColor theme="0"/>
        <bgColor rgb="FFFFFFFF"/>
      </patternFill>
    </fill>
    <fill>
      <patternFill patternType="solid">
        <fgColor rgb="FFFFFF00"/>
        <bgColor rgb="FFFFFF00"/>
      </patternFill>
    </fill>
    <fill>
      <patternFill patternType="solid">
        <fgColor rgb="FFFFC000"/>
        <bgColor rgb="FFFFFFFF"/>
      </patternFill>
    </fill>
    <fill>
      <patternFill patternType="solid">
        <fgColor rgb="FFFFC000"/>
        <bgColor rgb="FFFFFF00"/>
      </patternFill>
    </fill>
    <fill>
      <patternFill patternType="solid">
        <fgColor rgb="FF00B0F0"/>
        <bgColor rgb="FFD7E4BD"/>
      </patternFill>
    </fill>
    <fill>
      <patternFill patternType="solid">
        <fgColor rgb="FF00B0F0"/>
        <bgColor rgb="FFFFFFFF"/>
      </patternFill>
    </fill>
    <fill>
      <patternFill patternType="solid">
        <fgColor rgb="FF00B0F0"/>
        <bgColor indexed="13"/>
      </patternFill>
    </fill>
    <fill>
      <patternFill patternType="solid">
        <fgColor theme="8" tint="0.39997558519241921"/>
        <bgColor indexed="64"/>
      </patternFill>
    </fill>
    <fill>
      <patternFill patternType="solid">
        <fgColor rgb="FF808080"/>
        <bgColor indexed="64"/>
      </patternFill>
    </fill>
    <fill>
      <patternFill patternType="solid">
        <fgColor rgb="FFDBE5F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rgb="FF00B050"/>
        <bgColor indexed="64"/>
      </patternFill>
    </fill>
    <fill>
      <patternFill patternType="solid">
        <fgColor theme="5" tint="0.39997558519241921"/>
        <bgColor indexed="64"/>
      </patternFill>
    </fill>
    <fill>
      <patternFill patternType="solid">
        <fgColor rgb="FF00B0F0"/>
        <bgColor indexed="22"/>
      </patternFill>
    </fill>
    <fill>
      <patternFill patternType="solid">
        <fgColor rgb="FF92D050"/>
        <bgColor indexed="22"/>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59"/>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style="thin">
        <color rgb="FF000000"/>
      </top>
      <bottom/>
      <diagonal/>
    </border>
    <border>
      <left/>
      <right/>
      <top style="thin">
        <color rgb="FF000000"/>
      </top>
      <bottom style="thin">
        <color rgb="FF000000"/>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4F81BD"/>
      </left>
      <right style="medium">
        <color rgb="FF4F81BD"/>
      </right>
      <top style="medium">
        <color rgb="FF4F81BD"/>
      </top>
      <bottom style="medium">
        <color rgb="FF4F81BD"/>
      </bottom>
      <diagonal/>
    </border>
  </borders>
  <cellStyleXfs count="3849">
    <xf numFmtId="0" fontId="0" fillId="0" borderId="0"/>
    <xf numFmtId="177" fontId="6" fillId="0" borderId="0" applyFont="0" applyFill="0" applyBorder="0" applyAlignment="0" applyProtection="0"/>
    <xf numFmtId="170" fontId="4" fillId="0" borderId="0"/>
    <xf numFmtId="164"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1" fillId="0" borderId="0"/>
    <xf numFmtId="9" fontId="11" fillId="0" borderId="0" applyFont="0" applyFill="0" applyBorder="0" applyAlignment="0" applyProtection="0"/>
    <xf numFmtId="169" fontId="4" fillId="0" borderId="0"/>
    <xf numFmtId="44" fontId="4" fillId="0" borderId="0" applyFont="0" applyFill="0" applyBorder="0" applyAlignment="0" applyProtection="0"/>
    <xf numFmtId="164"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0" fontId="3" fillId="0" borderId="0"/>
    <xf numFmtId="9" fontId="3" fillId="0" borderId="0" applyFont="0" applyFill="0" applyBorder="0" applyAlignment="0" applyProtection="0"/>
    <xf numFmtId="0" fontId="3"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77" fontId="4"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4" fontId="23" fillId="0" borderId="0" applyFont="0" applyFill="0" applyBorder="0" applyAlignment="0" applyProtection="0"/>
    <xf numFmtId="164"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165" fontId="23" fillId="0" borderId="0" applyFont="0" applyFill="0" applyBorder="0" applyAlignment="0" applyProtection="0"/>
    <xf numFmtId="165" fontId="23" fillId="0" borderId="0" applyFont="0" applyFill="0" applyBorder="0" applyAlignment="0" applyProtection="0"/>
    <xf numFmtId="168" fontId="23" fillId="0" borderId="0" applyFont="0" applyFill="0" applyBorder="0" applyAlignment="0" applyProtection="0"/>
    <xf numFmtId="168" fontId="23" fillId="0" borderId="0" applyFont="0" applyFill="0" applyBorder="0" applyAlignment="0" applyProtection="0"/>
    <xf numFmtId="0" fontId="2" fillId="0" borderId="0"/>
    <xf numFmtId="0" fontId="6" fillId="0" borderId="0"/>
    <xf numFmtId="0" fontId="24" fillId="0" borderId="0"/>
    <xf numFmtId="0" fontId="2" fillId="0" borderId="0"/>
    <xf numFmtId="0" fontId="2" fillId="0" borderId="0"/>
    <xf numFmtId="0" fontId="2" fillId="0" borderId="0"/>
    <xf numFmtId="0" fontId="23" fillId="0" borderId="0"/>
    <xf numFmtId="9" fontId="23" fillId="0" borderId="0" applyFont="0" applyFill="0" applyBorder="0" applyAlignment="0" applyProtection="0"/>
    <xf numFmtId="9" fontId="23"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4"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164"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168" fontId="2" fillId="0" borderId="0" applyFont="0" applyFill="0" applyBorder="0" applyAlignment="0" applyProtection="0"/>
    <xf numFmtId="164"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0" borderId="0"/>
    <xf numFmtId="5" fontId="2" fillId="0" borderId="0" applyFont="0" applyFill="0" applyBorder="0" applyAlignment="0" applyProtection="0"/>
    <xf numFmtId="0" fontId="2" fillId="0" borderId="0"/>
    <xf numFmtId="6" fontId="4" fillId="0" borderId="0"/>
    <xf numFmtId="0" fontId="2" fillId="0" borderId="0"/>
    <xf numFmtId="5" fontId="2" fillId="0" borderId="0" applyFont="0" applyFill="0" applyBorder="0" applyAlignment="0" applyProtection="0"/>
    <xf numFmtId="0" fontId="2" fillId="0" borderId="0"/>
    <xf numFmtId="6" fontId="4" fillId="0" borderId="0"/>
    <xf numFmtId="0" fontId="2" fillId="0" borderId="0"/>
    <xf numFmtId="5" fontId="2" fillId="0" borderId="0" applyFont="0" applyFill="0" applyBorder="0" applyAlignment="0" applyProtection="0"/>
    <xf numFmtId="0" fontId="2" fillId="0" borderId="0"/>
    <xf numFmtId="6" fontId="4" fillId="0" borderId="0"/>
    <xf numFmtId="0" fontId="28" fillId="0" borderId="0" applyNumberFormat="0" applyFill="0" applyBorder="0" applyAlignment="0" applyProtection="0"/>
    <xf numFmtId="0" fontId="30" fillId="37" borderId="1" applyNumberFormat="0" applyProtection="0">
      <alignment horizontal="left" vertical="center" wrapText="1"/>
    </xf>
    <xf numFmtId="0" fontId="30" fillId="38" borderId="0" applyNumberFormat="0" applyBorder="0" applyProtection="0">
      <alignment horizontal="center" vertical="center"/>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5"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8" fontId="4" fillId="0" borderId="0"/>
    <xf numFmtId="9" fontId="4" fillId="0" borderId="0" applyFont="0" applyFill="0" applyBorder="0" applyAlignment="0" applyProtection="0"/>
    <xf numFmtId="49" fontId="60" fillId="0" borderId="0" applyFill="0" applyBorder="0" applyProtection="0">
      <alignment horizontal="left" vertical="center"/>
    </xf>
  </cellStyleXfs>
  <cellXfs count="1486">
    <xf numFmtId="0" fontId="0" fillId="0" borderId="0" xfId="0"/>
    <xf numFmtId="0" fontId="12" fillId="0" borderId="0" xfId="6" applyFont="1" applyFill="1" applyAlignment="1">
      <alignment horizontal="left" vertical="center"/>
    </xf>
    <xf numFmtId="172" fontId="12" fillId="0" borderId="1" xfId="5" applyNumberFormat="1" applyFont="1" applyFill="1" applyBorder="1" applyAlignment="1">
      <alignment horizontal="left" vertical="center"/>
    </xf>
    <xf numFmtId="9" fontId="12" fillId="0" borderId="1" xfId="7" applyFont="1" applyFill="1" applyBorder="1" applyAlignment="1">
      <alignment vertical="center"/>
    </xf>
    <xf numFmtId="0" fontId="12" fillId="0" borderId="0" xfId="6" applyFont="1" applyFill="1" applyAlignment="1">
      <alignment horizontal="center" vertical="center"/>
    </xf>
    <xf numFmtId="172" fontId="13" fillId="2" borderId="0" xfId="5" applyNumberFormat="1" applyFont="1" applyFill="1" applyBorder="1" applyAlignment="1">
      <alignment horizontal="left" vertical="center"/>
    </xf>
    <xf numFmtId="0" fontId="12" fillId="2" borderId="0" xfId="6" applyFont="1" applyFill="1" applyBorder="1" applyAlignment="1">
      <alignment horizontal="left" vertical="center"/>
    </xf>
    <xf numFmtId="172" fontId="12" fillId="2" borderId="0" xfId="6" applyNumberFormat="1" applyFont="1" applyFill="1" applyBorder="1" applyAlignment="1">
      <alignment horizontal="left" vertical="center"/>
    </xf>
    <xf numFmtId="172" fontId="5" fillId="2" borderId="0" xfId="5" applyNumberFormat="1" applyFont="1" applyFill="1" applyBorder="1" applyAlignment="1">
      <alignment horizontal="left" vertical="center"/>
    </xf>
    <xf numFmtId="172" fontId="13" fillId="2" borderId="0" xfId="6" applyNumberFormat="1" applyFont="1" applyFill="1" applyBorder="1" applyAlignment="1">
      <alignment horizontal="left" vertical="center"/>
    </xf>
    <xf numFmtId="173" fontId="13" fillId="2" borderId="0" xfId="3" applyNumberFormat="1" applyFont="1" applyFill="1" applyBorder="1" applyAlignment="1">
      <alignment horizontal="left" vertical="center"/>
    </xf>
    <xf numFmtId="172" fontId="12" fillId="0" borderId="0" xfId="6" applyNumberFormat="1" applyFont="1" applyFill="1" applyAlignment="1">
      <alignment horizontal="left" vertical="center"/>
    </xf>
    <xf numFmtId="173" fontId="12" fillId="0" borderId="0" xfId="6" applyNumberFormat="1" applyFont="1" applyFill="1" applyAlignment="1">
      <alignment horizontal="left" vertical="center"/>
    </xf>
    <xf numFmtId="173" fontId="12" fillId="0" borderId="0" xfId="3" applyNumberFormat="1" applyFont="1" applyFill="1" applyAlignment="1">
      <alignment horizontal="left" vertical="center"/>
    </xf>
    <xf numFmtId="14" fontId="12" fillId="2" borderId="0" xfId="6" applyNumberFormat="1" applyFont="1" applyFill="1" applyBorder="1" applyAlignment="1">
      <alignment horizontal="left" vertical="center"/>
    </xf>
    <xf numFmtId="173" fontId="12" fillId="2" borderId="0" xfId="3" applyNumberFormat="1" applyFont="1" applyFill="1" applyBorder="1" applyAlignment="1">
      <alignment horizontal="left" vertical="center"/>
    </xf>
    <xf numFmtId="0" fontId="12" fillId="0" borderId="0" xfId="6" applyFont="1" applyFill="1" applyAlignment="1">
      <alignment vertical="center"/>
    </xf>
    <xf numFmtId="173" fontId="13" fillId="0" borderId="0" xfId="3" applyNumberFormat="1" applyFont="1" applyFill="1" applyAlignment="1">
      <alignment horizontal="center" vertical="center"/>
    </xf>
    <xf numFmtId="174" fontId="12" fillId="2" borderId="0" xfId="3" applyNumberFormat="1" applyFont="1" applyFill="1" applyBorder="1" applyAlignment="1">
      <alignment horizontal="left" vertical="center"/>
    </xf>
    <xf numFmtId="3" fontId="12" fillId="2" borderId="0" xfId="6" applyNumberFormat="1" applyFont="1" applyFill="1" applyBorder="1" applyAlignment="1">
      <alignment horizontal="left" vertical="center"/>
    </xf>
    <xf numFmtId="3" fontId="14" fillId="0" borderId="0" xfId="6" applyNumberFormat="1" applyFont="1" applyFill="1" applyBorder="1" applyAlignment="1">
      <alignment horizontal="left" vertical="center"/>
    </xf>
    <xf numFmtId="0" fontId="13" fillId="0" borderId="0" xfId="6" applyFont="1" applyFill="1" applyAlignment="1">
      <alignment horizontal="left" vertical="center"/>
    </xf>
    <xf numFmtId="172" fontId="13" fillId="0" borderId="0" xfId="6" applyNumberFormat="1" applyFont="1" applyFill="1" applyAlignment="1">
      <alignment horizontal="left" vertical="center"/>
    </xf>
    <xf numFmtId="172" fontId="13" fillId="0" borderId="0" xfId="6" applyNumberFormat="1" applyFont="1" applyFill="1" applyAlignment="1">
      <alignment vertical="center"/>
    </xf>
    <xf numFmtId="0" fontId="13" fillId="0" borderId="0" xfId="6" applyFont="1" applyFill="1" applyAlignment="1">
      <alignment horizontal="center" vertical="center"/>
    </xf>
    <xf numFmtId="0" fontId="13" fillId="0" borderId="0" xfId="6" applyFont="1" applyFill="1" applyAlignment="1">
      <alignment vertical="center"/>
    </xf>
    <xf numFmtId="175" fontId="12" fillId="0" borderId="0" xfId="6" applyNumberFormat="1" applyFont="1" applyFill="1" applyAlignment="1">
      <alignment horizontal="left" vertical="center"/>
    </xf>
    <xf numFmtId="172" fontId="13" fillId="0" borderId="0" xfId="6" applyNumberFormat="1" applyFont="1" applyFill="1" applyBorder="1" applyAlignment="1">
      <alignment horizontal="right" vertical="center"/>
    </xf>
    <xf numFmtId="0" fontId="13" fillId="0" borderId="0" xfId="6" applyFont="1" applyFill="1" applyAlignment="1">
      <alignment horizontal="right" vertical="center"/>
    </xf>
    <xf numFmtId="172" fontId="13" fillId="0" borderId="0" xfId="6" applyNumberFormat="1" applyFont="1" applyFill="1" applyAlignment="1">
      <alignment horizontal="right" vertical="center"/>
    </xf>
    <xf numFmtId="172" fontId="12" fillId="0" borderId="0" xfId="6" applyNumberFormat="1" applyFont="1" applyFill="1" applyBorder="1" applyAlignment="1">
      <alignment horizontal="right" vertical="center"/>
    </xf>
    <xf numFmtId="0" fontId="12" fillId="0" borderId="2" xfId="6" applyFont="1" applyFill="1" applyBorder="1" applyAlignment="1">
      <alignment horizontal="right" vertical="center"/>
    </xf>
    <xf numFmtId="172" fontId="12" fillId="0" borderId="2" xfId="6" applyNumberFormat="1" applyFont="1" applyFill="1" applyBorder="1" applyAlignment="1">
      <alignment horizontal="right" vertical="center"/>
    </xf>
    <xf numFmtId="0" fontId="12" fillId="0" borderId="0" xfId="6" applyFont="1" applyFill="1" applyBorder="1" applyAlignment="1">
      <alignment horizontal="right" vertical="center"/>
    </xf>
    <xf numFmtId="0" fontId="12" fillId="0" borderId="0" xfId="6" applyFont="1" applyFill="1" applyBorder="1" applyAlignment="1">
      <alignment horizontal="center" vertical="center"/>
    </xf>
    <xf numFmtId="0" fontId="12" fillId="0" borderId="0" xfId="6" applyFont="1" applyFill="1" applyBorder="1" applyAlignment="1">
      <alignment horizontal="left" vertical="center"/>
    </xf>
    <xf numFmtId="0" fontId="12" fillId="0" borderId="3" xfId="6" applyFont="1" applyFill="1" applyBorder="1" applyAlignment="1">
      <alignment horizontal="left" vertical="center"/>
    </xf>
    <xf numFmtId="9" fontId="12" fillId="0" borderId="3" xfId="6" applyNumberFormat="1" applyFont="1" applyFill="1" applyBorder="1" applyAlignment="1">
      <alignment horizontal="left" vertical="center"/>
    </xf>
    <xf numFmtId="9" fontId="12" fillId="0" borderId="3" xfId="7" applyFont="1" applyFill="1" applyBorder="1" applyAlignment="1">
      <alignment horizontal="left" vertical="center"/>
    </xf>
    <xf numFmtId="172" fontId="13" fillId="3" borderId="1" xfId="5" applyNumberFormat="1" applyFont="1" applyFill="1" applyBorder="1" applyAlignment="1">
      <alignment horizontal="right" vertical="center"/>
    </xf>
    <xf numFmtId="172" fontId="13" fillId="3" borderId="0" xfId="5" applyNumberFormat="1" applyFont="1" applyFill="1" applyBorder="1" applyAlignment="1">
      <alignment horizontal="right" vertical="center"/>
    </xf>
    <xf numFmtId="172" fontId="13" fillId="3" borderId="2" xfId="5" applyNumberFormat="1" applyFont="1" applyFill="1" applyBorder="1" applyAlignment="1">
      <alignment horizontal="right" vertical="center"/>
    </xf>
    <xf numFmtId="172" fontId="13" fillId="0" borderId="4" xfId="6" applyNumberFormat="1" applyFont="1" applyFill="1" applyBorder="1" applyAlignment="1">
      <alignment horizontal="left" vertical="center"/>
    </xf>
    <xf numFmtId="172" fontId="13" fillId="0" borderId="1" xfId="6" applyNumberFormat="1" applyFont="1" applyFill="1" applyBorder="1" applyAlignment="1">
      <alignment horizontal="left" vertical="center"/>
    </xf>
    <xf numFmtId="176" fontId="13" fillId="4" borderId="1" xfId="7" applyNumberFormat="1" applyFont="1" applyFill="1" applyBorder="1" applyAlignment="1">
      <alignment horizontal="center" vertical="center"/>
    </xf>
    <xf numFmtId="172" fontId="13" fillId="3" borderId="1" xfId="5" applyNumberFormat="1" applyFont="1" applyFill="1" applyBorder="1" applyAlignment="1">
      <alignment horizontal="left" vertical="center"/>
    </xf>
    <xf numFmtId="172" fontId="13" fillId="3" borderId="4" xfId="5" applyNumberFormat="1" applyFont="1" applyFill="1" applyBorder="1" applyAlignment="1">
      <alignment horizontal="left" vertical="center"/>
    </xf>
    <xf numFmtId="172" fontId="13" fillId="3" borderId="5" xfId="5" applyNumberFormat="1" applyFont="1" applyFill="1" applyBorder="1" applyAlignment="1">
      <alignment horizontal="left" vertical="center"/>
    </xf>
    <xf numFmtId="0" fontId="13" fillId="3" borderId="5" xfId="6" applyFont="1" applyFill="1" applyBorder="1" applyAlignment="1">
      <alignment horizontal="center" vertical="center" wrapText="1"/>
    </xf>
    <xf numFmtId="0" fontId="12" fillId="0" borderId="4" xfId="6" applyFont="1" applyFill="1" applyBorder="1" applyAlignment="1">
      <alignment horizontal="left" vertical="center"/>
    </xf>
    <xf numFmtId="0" fontId="12" fillId="0" borderId="1" xfId="6" applyFont="1" applyFill="1" applyBorder="1" applyAlignment="1">
      <alignment horizontal="left" vertical="center"/>
    </xf>
    <xf numFmtId="173" fontId="12" fillId="0" borderId="1" xfId="6" applyNumberFormat="1" applyFont="1" applyFill="1" applyBorder="1" applyAlignment="1">
      <alignment horizontal="left" vertical="center"/>
    </xf>
    <xf numFmtId="9" fontId="13" fillId="5" borderId="1" xfId="7" applyFont="1" applyFill="1" applyBorder="1" applyAlignment="1">
      <alignment horizontal="center" vertical="center"/>
    </xf>
    <xf numFmtId="0" fontId="12" fillId="6" borderId="1" xfId="6" applyFont="1" applyFill="1" applyBorder="1" applyAlignment="1">
      <alignment horizontal="left" vertical="center"/>
    </xf>
    <xf numFmtId="172" fontId="5" fillId="6" borderId="6" xfId="5" applyNumberFormat="1" applyFont="1" applyFill="1" applyBorder="1" applyAlignment="1">
      <alignment horizontal="left" vertical="center"/>
    </xf>
    <xf numFmtId="172" fontId="5" fillId="6" borderId="3" xfId="5" applyNumberFormat="1" applyFont="1" applyFill="1" applyBorder="1" applyAlignment="1">
      <alignment horizontal="right" vertical="center"/>
    </xf>
    <xf numFmtId="0" fontId="13" fillId="6" borderId="6" xfId="6" applyFont="1" applyFill="1" applyBorder="1" applyAlignment="1">
      <alignment horizontal="center" vertical="center" wrapText="1"/>
    </xf>
    <xf numFmtId="173" fontId="12" fillId="7" borderId="4" xfId="6" applyNumberFormat="1" applyFont="1" applyFill="1" applyBorder="1" applyAlignment="1">
      <alignment horizontal="left" vertical="center"/>
    </xf>
    <xf numFmtId="173" fontId="12" fillId="7" borderId="1" xfId="6" applyNumberFormat="1" applyFont="1" applyFill="1" applyBorder="1" applyAlignment="1">
      <alignment horizontal="left" vertical="center"/>
    </xf>
    <xf numFmtId="9" fontId="13" fillId="7" borderId="1" xfId="7" applyFont="1" applyFill="1" applyBorder="1" applyAlignment="1">
      <alignment horizontal="center" vertical="center"/>
    </xf>
    <xf numFmtId="0" fontId="12" fillId="7" borderId="1" xfId="6" applyFont="1" applyFill="1" applyBorder="1" applyAlignment="1">
      <alignment horizontal="left" vertical="center"/>
    </xf>
    <xf numFmtId="173" fontId="13" fillId="7" borderId="1" xfId="3" applyNumberFormat="1" applyFont="1" applyFill="1" applyBorder="1" applyAlignment="1">
      <alignment horizontal="left" vertical="center"/>
    </xf>
    <xf numFmtId="173" fontId="13" fillId="7" borderId="5" xfId="3" applyNumberFormat="1" applyFont="1" applyFill="1" applyBorder="1" applyAlignment="1">
      <alignment horizontal="left" vertical="center"/>
    </xf>
    <xf numFmtId="172" fontId="5" fillId="7" borderId="1" xfId="5" applyNumberFormat="1" applyFont="1" applyFill="1" applyBorder="1" applyAlignment="1">
      <alignment horizontal="right" vertical="center"/>
    </xf>
    <xf numFmtId="172" fontId="5" fillId="7" borderId="7" xfId="5" applyNumberFormat="1" applyFont="1" applyFill="1" applyBorder="1" applyAlignment="1">
      <alignment horizontal="right" vertical="center"/>
    </xf>
    <xf numFmtId="172" fontId="5" fillId="7" borderId="3" xfId="5" applyNumberFormat="1" applyFont="1" applyFill="1" applyBorder="1" applyAlignment="1">
      <alignment horizontal="right" vertical="center"/>
    </xf>
    <xf numFmtId="0" fontId="13" fillId="7" borderId="6" xfId="6" applyFont="1" applyFill="1" applyBorder="1" applyAlignment="1">
      <alignment horizontal="center" vertical="center" wrapText="1"/>
    </xf>
    <xf numFmtId="173" fontId="12" fillId="8" borderId="4" xfId="3" applyNumberFormat="1" applyFont="1" applyFill="1" applyBorder="1" applyAlignment="1">
      <alignment horizontal="left" vertical="center"/>
    </xf>
    <xf numFmtId="173" fontId="12" fillId="8" borderId="1" xfId="3" applyNumberFormat="1" applyFont="1" applyFill="1" applyBorder="1" applyAlignment="1">
      <alignment horizontal="left" vertical="center"/>
    </xf>
    <xf numFmtId="0" fontId="12" fillId="8" borderId="1" xfId="6" applyFont="1" applyFill="1" applyBorder="1" applyAlignment="1">
      <alignment horizontal="left" vertical="center"/>
    </xf>
    <xf numFmtId="9" fontId="13" fillId="9" borderId="1" xfId="7" applyFont="1" applyFill="1" applyBorder="1" applyAlignment="1">
      <alignment horizontal="center" vertical="center"/>
    </xf>
    <xf numFmtId="0" fontId="12" fillId="9" borderId="1" xfId="6" applyFont="1" applyFill="1" applyBorder="1" applyAlignment="1">
      <alignment horizontal="left" vertical="center"/>
    </xf>
    <xf numFmtId="173" fontId="13" fillId="9" borderId="1" xfId="3" applyNumberFormat="1" applyFont="1" applyFill="1" applyBorder="1" applyAlignment="1">
      <alignment horizontal="left" vertical="center"/>
    </xf>
    <xf numFmtId="173" fontId="13" fillId="9" borderId="5" xfId="3" applyNumberFormat="1" applyFont="1" applyFill="1" applyBorder="1" applyAlignment="1">
      <alignment horizontal="left" vertical="center"/>
    </xf>
    <xf numFmtId="172" fontId="5" fillId="9" borderId="1" xfId="5" applyNumberFormat="1" applyFont="1" applyFill="1" applyBorder="1" applyAlignment="1">
      <alignment horizontal="right" vertical="center"/>
    </xf>
    <xf numFmtId="172" fontId="5" fillId="9" borderId="4" xfId="5" applyNumberFormat="1" applyFont="1" applyFill="1" applyBorder="1" applyAlignment="1">
      <alignment horizontal="right" vertical="center"/>
    </xf>
    <xf numFmtId="173" fontId="12" fillId="10" borderId="4" xfId="3" applyNumberFormat="1" applyFont="1" applyFill="1" applyBorder="1" applyAlignment="1">
      <alignment horizontal="left" vertical="center"/>
    </xf>
    <xf numFmtId="173" fontId="12" fillId="10" borderId="1" xfId="3" applyNumberFormat="1" applyFont="1" applyFill="1" applyBorder="1" applyAlignment="1">
      <alignment horizontal="left" vertical="center"/>
    </xf>
    <xf numFmtId="0" fontId="12" fillId="10" borderId="1" xfId="6" applyFont="1" applyFill="1" applyBorder="1" applyAlignment="1">
      <alignment horizontal="left" vertical="center"/>
    </xf>
    <xf numFmtId="9" fontId="13" fillId="10" borderId="1" xfId="7" applyFont="1" applyFill="1" applyBorder="1" applyAlignment="1">
      <alignment horizontal="center" vertical="center"/>
    </xf>
    <xf numFmtId="173" fontId="13" fillId="10" borderId="1" xfId="3" applyNumberFormat="1" applyFont="1" applyFill="1" applyBorder="1" applyAlignment="1">
      <alignment horizontal="left" vertical="center"/>
    </xf>
    <xf numFmtId="173" fontId="13" fillId="10" borderId="5" xfId="3" applyNumberFormat="1" applyFont="1" applyFill="1" applyBorder="1" applyAlignment="1">
      <alignment horizontal="left" vertical="center"/>
    </xf>
    <xf numFmtId="172" fontId="13" fillId="10" borderId="1" xfId="6" applyNumberFormat="1" applyFont="1" applyFill="1" applyBorder="1" applyAlignment="1">
      <alignment horizontal="right" vertical="center" wrapText="1"/>
    </xf>
    <xf numFmtId="172" fontId="13" fillId="10" borderId="0" xfId="6" applyNumberFormat="1" applyFont="1" applyFill="1" applyBorder="1" applyAlignment="1">
      <alignment horizontal="right" vertical="center" wrapText="1"/>
    </xf>
    <xf numFmtId="0" fontId="13" fillId="10" borderId="0" xfId="6" applyFont="1" applyFill="1" applyBorder="1" applyAlignment="1">
      <alignment horizontal="center" vertical="center" wrapText="1"/>
    </xf>
    <xf numFmtId="9" fontId="13" fillId="2" borderId="1" xfId="7" applyFont="1" applyFill="1" applyBorder="1" applyAlignment="1">
      <alignment horizontal="center" vertical="center"/>
    </xf>
    <xf numFmtId="0" fontId="12" fillId="0" borderId="1" xfId="6" applyFont="1" applyFill="1" applyBorder="1" applyAlignment="1">
      <alignment horizontal="left" vertical="center" wrapText="1"/>
    </xf>
    <xf numFmtId="14" fontId="12" fillId="0" borderId="1" xfId="6" applyNumberFormat="1" applyFont="1" applyFill="1" applyBorder="1" applyAlignment="1">
      <alignment horizontal="left" vertical="center"/>
    </xf>
    <xf numFmtId="177" fontId="12" fillId="0" borderId="1" xfId="6" applyNumberFormat="1" applyFont="1" applyFill="1" applyBorder="1" applyAlignment="1">
      <alignment horizontal="left" vertical="center"/>
    </xf>
    <xf numFmtId="174" fontId="12" fillId="0" borderId="1" xfId="3" applyNumberFormat="1" applyFont="1" applyFill="1" applyBorder="1" applyAlignment="1">
      <alignment horizontal="left" vertical="center"/>
    </xf>
    <xf numFmtId="174" fontId="12" fillId="0" borderId="5" xfId="3" applyNumberFormat="1" applyFont="1" applyFill="1" applyBorder="1" applyAlignment="1">
      <alignment horizontal="left" vertical="center"/>
    </xf>
    <xf numFmtId="172" fontId="5" fillId="9" borderId="1" xfId="5" applyNumberFormat="1" applyFont="1" applyFill="1" applyBorder="1" applyAlignment="1">
      <alignment horizontal="right" vertical="center" wrapText="1"/>
    </xf>
    <xf numFmtId="172" fontId="5" fillId="2" borderId="4" xfId="5" applyNumberFormat="1" applyFont="1" applyFill="1" applyBorder="1" applyAlignment="1">
      <alignment horizontal="right" vertical="center" wrapText="1"/>
    </xf>
    <xf numFmtId="172" fontId="5" fillId="2" borderId="1" xfId="5" applyNumberFormat="1" applyFont="1" applyFill="1" applyBorder="1" applyAlignment="1">
      <alignment horizontal="right" vertical="center" wrapText="1"/>
    </xf>
    <xf numFmtId="172" fontId="6" fillId="2" borderId="1" xfId="5" applyNumberFormat="1" applyFont="1" applyFill="1" applyBorder="1" applyAlignment="1">
      <alignment horizontal="right" vertical="center" wrapText="1"/>
    </xf>
    <xf numFmtId="0" fontId="12" fillId="2" borderId="1" xfId="6" applyFont="1" applyFill="1" applyBorder="1" applyAlignment="1">
      <alignment horizontal="center" vertical="center" wrapText="1"/>
    </xf>
    <xf numFmtId="0" fontId="12" fillId="0" borderId="1" xfId="6" applyFont="1" applyFill="1" applyBorder="1" applyAlignment="1">
      <alignment horizontal="justify" vertical="center" wrapText="1"/>
    </xf>
    <xf numFmtId="0" fontId="12" fillId="0" borderId="1" xfId="6" applyFont="1" applyFill="1" applyBorder="1" applyAlignment="1">
      <alignment horizontal="center" vertical="center" wrapText="1"/>
    </xf>
    <xf numFmtId="0" fontId="6" fillId="2" borderId="7" xfId="6" applyFont="1" applyFill="1" applyBorder="1" applyAlignment="1">
      <alignment horizontal="center" vertical="center" wrapText="1"/>
    </xf>
    <xf numFmtId="173" fontId="12" fillId="9" borderId="4" xfId="6" applyNumberFormat="1" applyFont="1" applyFill="1" applyBorder="1" applyAlignment="1">
      <alignment horizontal="left" vertical="center"/>
    </xf>
    <xf numFmtId="173" fontId="12" fillId="9" borderId="1" xfId="6" applyNumberFormat="1" applyFont="1" applyFill="1" applyBorder="1" applyAlignment="1">
      <alignment horizontal="left" vertical="center"/>
    </xf>
    <xf numFmtId="0" fontId="13" fillId="10" borderId="1" xfId="6" applyFont="1" applyFill="1" applyBorder="1" applyAlignment="1">
      <alignment horizontal="center" vertical="center" wrapText="1"/>
    </xf>
    <xf numFmtId="0" fontId="13" fillId="10" borderId="8" xfId="6" applyFont="1" applyFill="1" applyBorder="1" applyAlignment="1">
      <alignment horizontal="center" vertical="center" wrapText="1"/>
    </xf>
    <xf numFmtId="9" fontId="12" fillId="0" borderId="1" xfId="7" applyFont="1" applyFill="1" applyBorder="1" applyAlignment="1">
      <alignment horizontal="left" vertical="center"/>
    </xf>
    <xf numFmtId="0" fontId="12" fillId="2" borderId="1" xfId="6" applyFont="1" applyFill="1" applyBorder="1" applyAlignment="1">
      <alignment horizontal="left" vertical="center" wrapText="1"/>
    </xf>
    <xf numFmtId="0" fontId="12" fillId="2" borderId="1" xfId="6" applyFont="1" applyFill="1" applyBorder="1" applyAlignment="1">
      <alignment horizontal="left" vertical="center"/>
    </xf>
    <xf numFmtId="14" fontId="12" fillId="2" borderId="1" xfId="6" applyNumberFormat="1" applyFont="1" applyFill="1" applyBorder="1" applyAlignment="1">
      <alignment horizontal="left" vertical="center"/>
    </xf>
    <xf numFmtId="172" fontId="12" fillId="0" borderId="1" xfId="6" applyNumberFormat="1" applyFont="1" applyFill="1" applyBorder="1" applyAlignment="1">
      <alignment horizontal="left" vertical="center"/>
    </xf>
    <xf numFmtId="173" fontId="12" fillId="0" borderId="5" xfId="6" applyNumberFormat="1" applyFont="1" applyFill="1" applyBorder="1" applyAlignment="1">
      <alignment horizontal="left" vertical="center"/>
    </xf>
    <xf numFmtId="172" fontId="15" fillId="9" borderId="1" xfId="5" applyNumberFormat="1" applyFont="1" applyFill="1" applyBorder="1" applyAlignment="1">
      <alignment horizontal="right" vertical="center" wrapText="1"/>
    </xf>
    <xf numFmtId="0" fontId="12" fillId="2" borderId="8" xfId="6" applyFont="1" applyFill="1" applyBorder="1" applyAlignment="1">
      <alignment horizontal="center" vertical="center" wrapText="1"/>
    </xf>
    <xf numFmtId="0" fontId="12" fillId="0" borderId="8" xfId="6" applyFont="1" applyFill="1" applyBorder="1" applyAlignment="1">
      <alignment horizontal="justify" vertical="center" wrapText="1"/>
    </xf>
    <xf numFmtId="0" fontId="12" fillId="0" borderId="8" xfId="6" applyFont="1" applyFill="1" applyBorder="1" applyAlignment="1">
      <alignment horizontal="center" vertical="center" wrapText="1"/>
    </xf>
    <xf numFmtId="172" fontId="6" fillId="8" borderId="1" xfId="5" applyNumberFormat="1" applyFont="1" applyFill="1" applyBorder="1" applyAlignment="1">
      <alignment horizontal="left" vertical="center"/>
    </xf>
    <xf numFmtId="172" fontId="15" fillId="2" borderId="4" xfId="5" applyNumberFormat="1" applyFont="1" applyFill="1" applyBorder="1" applyAlignment="1">
      <alignment horizontal="right" vertical="center" wrapText="1"/>
    </xf>
    <xf numFmtId="172" fontId="15" fillId="2" borderId="1" xfId="5" applyNumberFormat="1" applyFont="1" applyFill="1" applyBorder="1" applyAlignment="1">
      <alignment horizontal="right" vertical="center" wrapText="1"/>
    </xf>
    <xf numFmtId="172" fontId="16" fillId="2" borderId="1" xfId="5" applyNumberFormat="1" applyFont="1" applyFill="1" applyBorder="1" applyAlignment="1">
      <alignment horizontal="right" vertical="center" wrapText="1"/>
    </xf>
    <xf numFmtId="0" fontId="16" fillId="0" borderId="1" xfId="6" applyFont="1" applyFill="1" applyBorder="1" applyAlignment="1">
      <alignment horizontal="center" vertical="center" wrapText="1"/>
    </xf>
    <xf numFmtId="0" fontId="16" fillId="2" borderId="8" xfId="6" applyFont="1" applyFill="1" applyBorder="1" applyAlignment="1">
      <alignment horizontal="center" vertical="center" wrapText="1"/>
    </xf>
    <xf numFmtId="0" fontId="17" fillId="11" borderId="1" xfId="6" applyFont="1" applyFill="1" applyBorder="1" applyAlignment="1">
      <alignment horizontal="justify" vertical="center" wrapText="1"/>
    </xf>
    <xf numFmtId="0" fontId="16" fillId="11" borderId="8" xfId="6" applyFont="1" applyFill="1" applyBorder="1" applyAlignment="1">
      <alignment horizontal="justify" vertical="center" wrapText="1"/>
    </xf>
    <xf numFmtId="0" fontId="16" fillId="2" borderId="1" xfId="6" applyFont="1" applyFill="1" applyBorder="1" applyAlignment="1">
      <alignment horizontal="center" vertical="center" wrapText="1"/>
    </xf>
    <xf numFmtId="0" fontId="16" fillId="0" borderId="5" xfId="6" applyFont="1" applyFill="1" applyBorder="1" applyAlignment="1">
      <alignment horizontal="justify" vertical="center" wrapText="1"/>
    </xf>
    <xf numFmtId="0" fontId="12" fillId="0" borderId="5" xfId="6" applyFont="1" applyFill="1" applyBorder="1" applyAlignment="1">
      <alignment horizontal="center" vertical="center" wrapText="1"/>
    </xf>
    <xf numFmtId="172" fontId="5" fillId="7" borderId="1" xfId="5" applyNumberFormat="1" applyFont="1" applyFill="1" applyBorder="1" applyAlignment="1">
      <alignment horizontal="right" vertical="center" wrapText="1"/>
    </xf>
    <xf numFmtId="172" fontId="5" fillId="7" borderId="4" xfId="5" applyNumberFormat="1" applyFont="1" applyFill="1" applyBorder="1" applyAlignment="1">
      <alignment horizontal="right" vertical="center" wrapText="1"/>
    </xf>
    <xf numFmtId="0" fontId="5" fillId="7" borderId="5" xfId="6" applyFont="1" applyFill="1" applyBorder="1" applyAlignment="1">
      <alignment horizontal="center" vertical="center" wrapText="1"/>
    </xf>
    <xf numFmtId="172" fontId="5" fillId="9" borderId="4" xfId="5" applyNumberFormat="1" applyFont="1" applyFill="1" applyBorder="1" applyAlignment="1">
      <alignment horizontal="right" vertical="center" wrapText="1"/>
    </xf>
    <xf numFmtId="172" fontId="5" fillId="10" borderId="1" xfId="5" applyNumberFormat="1" applyFont="1" applyFill="1" applyBorder="1" applyAlignment="1">
      <alignment horizontal="right" vertical="center" wrapText="1"/>
    </xf>
    <xf numFmtId="172" fontId="5" fillId="10" borderId="4" xfId="5" applyNumberFormat="1" applyFont="1" applyFill="1" applyBorder="1" applyAlignment="1">
      <alignment horizontal="right" vertical="center" wrapText="1"/>
    </xf>
    <xf numFmtId="172" fontId="6" fillId="10" borderId="1" xfId="5" applyNumberFormat="1" applyFont="1" applyFill="1" applyBorder="1" applyAlignment="1">
      <alignment horizontal="right" vertical="center" wrapText="1"/>
    </xf>
    <xf numFmtId="172" fontId="12" fillId="2" borderId="1" xfId="5" applyNumberFormat="1" applyFont="1" applyFill="1" applyBorder="1" applyAlignment="1">
      <alignment horizontal="right" vertical="center" wrapText="1"/>
    </xf>
    <xf numFmtId="0" fontId="13" fillId="10" borderId="0" xfId="6" applyFont="1" applyFill="1" applyBorder="1" applyAlignment="1">
      <alignment horizontal="right" vertical="center" wrapText="1"/>
    </xf>
    <xf numFmtId="0" fontId="12" fillId="0" borderId="5" xfId="6" applyFont="1" applyFill="1" applyBorder="1" applyAlignment="1">
      <alignment horizontal="left" vertical="center"/>
    </xf>
    <xf numFmtId="172" fontId="6" fillId="2" borderId="0" xfId="5" applyNumberFormat="1" applyFont="1" applyFill="1" applyBorder="1" applyAlignment="1">
      <alignment horizontal="right" vertical="center" wrapText="1"/>
    </xf>
    <xf numFmtId="172" fontId="5" fillId="2" borderId="0" xfId="5" applyNumberFormat="1" applyFont="1" applyFill="1" applyBorder="1" applyAlignment="1">
      <alignment horizontal="right" vertical="center" wrapText="1"/>
    </xf>
    <xf numFmtId="173" fontId="12" fillId="0" borderId="1" xfId="3" applyNumberFormat="1" applyFont="1" applyFill="1" applyBorder="1" applyAlignment="1">
      <alignment horizontal="left" vertical="center"/>
    </xf>
    <xf numFmtId="173" fontId="12" fillId="0" borderId="5" xfId="3" applyNumberFormat="1" applyFont="1" applyFill="1" applyBorder="1" applyAlignment="1">
      <alignment horizontal="left" vertical="center"/>
    </xf>
    <xf numFmtId="0" fontId="12" fillId="2" borderId="0" xfId="6" applyFont="1" applyFill="1" applyAlignment="1">
      <alignment horizontal="left" vertical="center"/>
    </xf>
    <xf numFmtId="172" fontId="12" fillId="2" borderId="1" xfId="5" applyNumberFormat="1" applyFont="1" applyFill="1" applyBorder="1" applyAlignment="1">
      <alignment horizontal="left" vertical="center"/>
    </xf>
    <xf numFmtId="173" fontId="13" fillId="9" borderId="4" xfId="7" applyNumberFormat="1" applyFont="1" applyFill="1" applyBorder="1" applyAlignment="1">
      <alignment horizontal="center" vertical="center"/>
    </xf>
    <xf numFmtId="173" fontId="13" fillId="9" borderId="1" xfId="7" applyNumberFormat="1" applyFont="1" applyFill="1" applyBorder="1" applyAlignment="1">
      <alignment horizontal="center" vertical="center"/>
    </xf>
    <xf numFmtId="173" fontId="13" fillId="10" borderId="4" xfId="3" applyNumberFormat="1" applyFont="1" applyFill="1" applyBorder="1" applyAlignment="1">
      <alignment horizontal="center" vertical="center"/>
    </xf>
    <xf numFmtId="173" fontId="13" fillId="10" borderId="1" xfId="3" applyNumberFormat="1" applyFont="1" applyFill="1" applyBorder="1" applyAlignment="1">
      <alignment horizontal="center" vertical="center"/>
    </xf>
    <xf numFmtId="165" fontId="13" fillId="10" borderId="1" xfId="6" applyNumberFormat="1" applyFont="1" applyFill="1" applyBorder="1" applyAlignment="1">
      <alignment horizontal="right" vertical="center" wrapText="1"/>
    </xf>
    <xf numFmtId="165" fontId="13" fillId="10" borderId="4" xfId="6" applyNumberFormat="1" applyFont="1" applyFill="1" applyBorder="1" applyAlignment="1">
      <alignment horizontal="right" vertical="center" wrapText="1"/>
    </xf>
    <xf numFmtId="0" fontId="12" fillId="2" borderId="4" xfId="6" applyFont="1" applyFill="1" applyBorder="1" applyAlignment="1">
      <alignment horizontal="left" vertical="center"/>
    </xf>
    <xf numFmtId="9" fontId="12" fillId="2" borderId="1" xfId="7" applyFont="1" applyFill="1" applyBorder="1" applyAlignment="1">
      <alignment horizontal="left" vertical="center"/>
    </xf>
    <xf numFmtId="173" fontId="12" fillId="2" borderId="1" xfId="3" applyNumberFormat="1" applyFont="1" applyFill="1" applyBorder="1" applyAlignment="1">
      <alignment horizontal="left" vertical="center"/>
    </xf>
    <xf numFmtId="173" fontId="12" fillId="2" borderId="1" xfId="3" applyNumberFormat="1" applyFont="1" applyFill="1" applyBorder="1" applyAlignment="1">
      <alignment horizontal="center" vertical="top"/>
    </xf>
    <xf numFmtId="173" fontId="12" fillId="2" borderId="5" xfId="3" applyNumberFormat="1" applyFont="1" applyFill="1" applyBorder="1" applyAlignment="1">
      <alignment horizontal="left" vertical="center"/>
    </xf>
    <xf numFmtId="173" fontId="18" fillId="2" borderId="1" xfId="3" applyNumberFormat="1" applyFont="1" applyFill="1" applyBorder="1" applyAlignment="1">
      <alignment horizontal="right" vertical="center" wrapText="1"/>
    </xf>
    <xf numFmtId="0" fontId="18" fillId="2" borderId="1" xfId="6" applyFont="1" applyFill="1" applyBorder="1" applyAlignment="1">
      <alignment horizontal="center" vertical="center" wrapText="1"/>
    </xf>
    <xf numFmtId="0" fontId="6" fillId="2" borderId="1" xfId="6" applyFont="1" applyFill="1" applyBorder="1" applyAlignment="1">
      <alignment horizontal="center" vertical="center" wrapText="1"/>
    </xf>
    <xf numFmtId="0" fontId="12" fillId="2" borderId="9" xfId="6" applyFont="1" applyFill="1" applyBorder="1" applyAlignment="1">
      <alignment horizontal="center" vertical="center" wrapText="1"/>
    </xf>
    <xf numFmtId="0" fontId="12" fillId="2" borderId="0" xfId="6" applyFont="1" applyFill="1" applyBorder="1" applyAlignment="1">
      <alignment horizontal="center" vertical="center" wrapText="1"/>
    </xf>
    <xf numFmtId="178" fontId="12" fillId="2" borderId="1" xfId="3" applyNumberFormat="1" applyFont="1" applyFill="1" applyBorder="1" applyAlignment="1">
      <alignment horizontal="left" vertical="center"/>
    </xf>
    <xf numFmtId="173" fontId="6" fillId="2" borderId="1" xfId="3" applyNumberFormat="1" applyFont="1" applyFill="1" applyBorder="1" applyAlignment="1">
      <alignment horizontal="right" vertical="center" wrapText="1"/>
    </xf>
    <xf numFmtId="0" fontId="6" fillId="2" borderId="10" xfId="6" applyFont="1" applyFill="1" applyBorder="1" applyAlignment="1">
      <alignment horizontal="center" vertical="center" wrapText="1"/>
    </xf>
    <xf numFmtId="0" fontId="6" fillId="0" borderId="10" xfId="6" applyFont="1" applyFill="1" applyBorder="1" applyAlignment="1">
      <alignment horizontal="justify" vertical="center" wrapText="1"/>
    </xf>
    <xf numFmtId="172" fontId="19" fillId="9" borderId="1" xfId="5" applyNumberFormat="1" applyFont="1" applyFill="1" applyBorder="1" applyAlignment="1">
      <alignment horizontal="right" vertical="center" wrapText="1"/>
    </xf>
    <xf numFmtId="172" fontId="19" fillId="2" borderId="4" xfId="5" applyNumberFormat="1" applyFont="1" applyFill="1" applyBorder="1" applyAlignment="1">
      <alignment horizontal="right" vertical="center" wrapText="1"/>
    </xf>
    <xf numFmtId="172" fontId="19" fillId="2" borderId="1" xfId="5" applyNumberFormat="1" applyFont="1" applyFill="1" applyBorder="1" applyAlignment="1">
      <alignment horizontal="right" vertical="center" wrapText="1"/>
    </xf>
    <xf numFmtId="173" fontId="19" fillId="2" borderId="1" xfId="3" applyNumberFormat="1" applyFont="1" applyFill="1" applyBorder="1" applyAlignment="1">
      <alignment horizontal="right" vertical="center" wrapText="1"/>
    </xf>
    <xf numFmtId="0" fontId="19" fillId="2" borderId="10" xfId="6" applyFont="1" applyFill="1" applyBorder="1" applyAlignment="1">
      <alignment horizontal="center" vertical="center" wrapText="1"/>
    </xf>
    <xf numFmtId="0" fontId="19" fillId="0" borderId="1" xfId="6" applyFont="1" applyFill="1" applyBorder="1" applyAlignment="1">
      <alignment horizontal="justify" vertical="center" wrapText="1"/>
    </xf>
    <xf numFmtId="173" fontId="16" fillId="2" borderId="1" xfId="3" applyNumberFormat="1" applyFont="1" applyFill="1" applyBorder="1" applyAlignment="1">
      <alignment horizontal="right" vertical="center" wrapText="1"/>
    </xf>
    <xf numFmtId="0" fontId="6" fillId="0" borderId="1" xfId="6" applyFont="1" applyFill="1" applyBorder="1" applyAlignment="1">
      <alignment horizontal="justify" vertical="center" wrapText="1"/>
    </xf>
    <xf numFmtId="14" fontId="12" fillId="2" borderId="1" xfId="3" applyNumberFormat="1" applyFont="1" applyFill="1" applyBorder="1" applyAlignment="1">
      <alignment horizontal="left" vertical="center"/>
    </xf>
    <xf numFmtId="0" fontId="6" fillId="2" borderId="9" xfId="6" applyFont="1" applyFill="1" applyBorder="1" applyAlignment="1">
      <alignment horizontal="center" vertical="center" wrapText="1"/>
    </xf>
    <xf numFmtId="0" fontId="6" fillId="2" borderId="11" xfId="6" applyFont="1" applyFill="1" applyBorder="1" applyAlignment="1">
      <alignment horizontal="center" vertical="center" wrapText="1"/>
    </xf>
    <xf numFmtId="0" fontId="6" fillId="0" borderId="9" xfId="6" applyFont="1" applyFill="1" applyBorder="1" applyAlignment="1">
      <alignment horizontal="justify" vertical="center" wrapText="1"/>
    </xf>
    <xf numFmtId="173" fontId="12" fillId="2" borderId="1" xfId="7" applyNumberFormat="1" applyFont="1" applyFill="1" applyBorder="1" applyAlignment="1">
      <alignment horizontal="left" vertical="center"/>
    </xf>
    <xf numFmtId="173" fontId="12" fillId="2" borderId="1" xfId="3" applyNumberFormat="1" applyFont="1" applyFill="1" applyBorder="1" applyAlignment="1">
      <alignment horizontal="left" vertical="center" wrapText="1"/>
    </xf>
    <xf numFmtId="0" fontId="6" fillId="0" borderId="1" xfId="6" applyFont="1" applyFill="1" applyBorder="1" applyAlignment="1">
      <alignment horizontal="center" vertical="center" wrapText="1"/>
    </xf>
    <xf numFmtId="0" fontId="12" fillId="0" borderId="3" xfId="6" applyFont="1" applyFill="1" applyBorder="1" applyAlignment="1">
      <alignment horizontal="center" vertical="center" wrapText="1"/>
    </xf>
    <xf numFmtId="0" fontId="6" fillId="0" borderId="3" xfId="6" applyFont="1" applyFill="1" applyBorder="1" applyAlignment="1">
      <alignment horizontal="justify" vertical="center" wrapText="1"/>
    </xf>
    <xf numFmtId="164" fontId="12" fillId="2" borderId="1" xfId="3" applyFont="1" applyFill="1" applyBorder="1" applyAlignment="1">
      <alignment horizontal="left" vertical="center"/>
    </xf>
    <xf numFmtId="172" fontId="20" fillId="2" borderId="1" xfId="5" applyNumberFormat="1" applyFont="1" applyFill="1" applyBorder="1" applyAlignment="1">
      <alignment horizontal="right" vertical="center" wrapText="1"/>
    </xf>
    <xf numFmtId="0" fontId="20" fillId="0" borderId="1" xfId="6" applyFont="1" applyFill="1" applyBorder="1" applyAlignment="1">
      <alignment horizontal="center" vertical="center" wrapText="1"/>
    </xf>
    <xf numFmtId="172" fontId="13" fillId="9" borderId="1" xfId="5" applyNumberFormat="1" applyFont="1" applyFill="1" applyBorder="1" applyAlignment="1">
      <alignment horizontal="right" vertical="center" wrapText="1"/>
    </xf>
    <xf numFmtId="172" fontId="13" fillId="2" borderId="4" xfId="5" applyNumberFormat="1" applyFont="1" applyFill="1" applyBorder="1" applyAlignment="1">
      <alignment horizontal="right" vertical="center" wrapText="1"/>
    </xf>
    <xf numFmtId="172" fontId="13" fillId="2" borderId="1" xfId="5" applyNumberFormat="1" applyFont="1" applyFill="1" applyBorder="1" applyAlignment="1">
      <alignment horizontal="right" vertical="center" wrapText="1"/>
    </xf>
    <xf numFmtId="164" fontId="13" fillId="7" borderId="4" xfId="7" applyNumberFormat="1" applyFont="1" applyFill="1" applyBorder="1" applyAlignment="1">
      <alignment horizontal="center" vertical="center"/>
    </xf>
    <xf numFmtId="164" fontId="13" fillId="7" borderId="1" xfId="7" applyNumberFormat="1" applyFont="1" applyFill="1" applyBorder="1" applyAlignment="1">
      <alignment horizontal="center" vertical="center"/>
    </xf>
    <xf numFmtId="173" fontId="12" fillId="7" borderId="1" xfId="3" applyNumberFormat="1" applyFont="1" applyFill="1" applyBorder="1" applyAlignment="1">
      <alignment horizontal="left" vertical="center"/>
    </xf>
    <xf numFmtId="172" fontId="13" fillId="7" borderId="5" xfId="6" applyNumberFormat="1" applyFont="1" applyFill="1" applyBorder="1" applyAlignment="1">
      <alignment horizontal="left" vertical="center"/>
    </xf>
    <xf numFmtId="0" fontId="13" fillId="0" borderId="10" xfId="6" applyFont="1" applyFill="1" applyBorder="1" applyAlignment="1">
      <alignment vertical="center" textRotation="90"/>
    </xf>
    <xf numFmtId="164" fontId="13" fillId="9" borderId="4" xfId="7" applyNumberFormat="1" applyFont="1" applyFill="1" applyBorder="1" applyAlignment="1">
      <alignment horizontal="center" vertical="center"/>
    </xf>
    <xf numFmtId="164" fontId="13" fillId="9" borderId="1" xfId="7" applyNumberFormat="1" applyFont="1" applyFill="1" applyBorder="1" applyAlignment="1">
      <alignment horizontal="center" vertical="center"/>
    </xf>
    <xf numFmtId="172" fontId="13" fillId="9" borderId="5" xfId="6" applyNumberFormat="1" applyFont="1" applyFill="1" applyBorder="1" applyAlignment="1">
      <alignment horizontal="left" vertical="center"/>
    </xf>
    <xf numFmtId="174" fontId="13" fillId="10" borderId="4" xfId="3" applyNumberFormat="1" applyFont="1" applyFill="1" applyBorder="1" applyAlignment="1">
      <alignment horizontal="center" vertical="center"/>
    </xf>
    <xf numFmtId="174" fontId="13" fillId="10" borderId="1" xfId="3" applyNumberFormat="1" applyFont="1" applyFill="1" applyBorder="1" applyAlignment="1">
      <alignment horizontal="center" vertical="center"/>
    </xf>
    <xf numFmtId="177" fontId="13" fillId="10" borderId="10" xfId="6" applyNumberFormat="1" applyFont="1" applyFill="1" applyBorder="1" applyAlignment="1">
      <alignment vertical="center" wrapText="1"/>
    </xf>
    <xf numFmtId="0" fontId="13" fillId="10" borderId="10" xfId="6" applyFont="1" applyFill="1" applyBorder="1" applyAlignment="1">
      <alignment horizontal="center" vertical="center" wrapText="1"/>
    </xf>
    <xf numFmtId="0" fontId="13" fillId="10" borderId="10" xfId="6" applyFont="1" applyFill="1" applyBorder="1" applyAlignment="1">
      <alignment horizontal="center" wrapText="1"/>
    </xf>
    <xf numFmtId="0" fontId="14" fillId="10" borderId="1" xfId="6" applyFont="1" applyFill="1" applyBorder="1" applyAlignment="1">
      <alignment horizontal="justify" vertical="center" wrapText="1"/>
    </xf>
    <xf numFmtId="0" fontId="12" fillId="2" borderId="10" xfId="6" applyFont="1" applyFill="1" applyBorder="1" applyAlignment="1">
      <alignment horizontal="center" vertical="center" wrapText="1"/>
    </xf>
    <xf numFmtId="177" fontId="16" fillId="2" borderId="1" xfId="6" applyNumberFormat="1" applyFont="1" applyFill="1" applyBorder="1" applyAlignment="1">
      <alignment vertical="center" wrapText="1"/>
    </xf>
    <xf numFmtId="0" fontId="16" fillId="0" borderId="1" xfId="6" applyFont="1" applyBorder="1" applyAlignment="1">
      <alignment horizontal="center" vertical="center" wrapText="1"/>
    </xf>
    <xf numFmtId="0" fontId="16" fillId="0" borderId="1" xfId="6" applyFont="1" applyBorder="1" applyAlignment="1">
      <alignment horizontal="center" wrapText="1"/>
    </xf>
    <xf numFmtId="0" fontId="16" fillId="2" borderId="1" xfId="6" applyFont="1" applyFill="1" applyBorder="1" applyAlignment="1">
      <alignment horizontal="center" wrapText="1"/>
    </xf>
    <xf numFmtId="0" fontId="16" fillId="0" borderId="1" xfId="6" applyFont="1" applyFill="1" applyBorder="1" applyAlignment="1">
      <alignment horizontal="justify" vertical="center" wrapText="1"/>
    </xf>
    <xf numFmtId="172" fontId="17" fillId="9" borderId="1" xfId="5" applyNumberFormat="1" applyFont="1" applyFill="1" applyBorder="1" applyAlignment="1">
      <alignment horizontal="right" vertical="center" wrapText="1"/>
    </xf>
    <xf numFmtId="172" fontId="17" fillId="2" borderId="4" xfId="5" applyNumberFormat="1" applyFont="1" applyFill="1" applyBorder="1" applyAlignment="1">
      <alignment horizontal="right" vertical="center" wrapText="1"/>
    </xf>
    <xf numFmtId="172" fontId="17" fillId="2" borderId="1" xfId="5" applyNumberFormat="1" applyFont="1" applyFill="1" applyBorder="1" applyAlignment="1">
      <alignment horizontal="right" vertical="center" wrapText="1"/>
    </xf>
    <xf numFmtId="177" fontId="17" fillId="2" borderId="1" xfId="6" applyNumberFormat="1" applyFont="1" applyFill="1" applyBorder="1" applyAlignment="1">
      <alignment vertical="center" wrapText="1"/>
    </xf>
    <xf numFmtId="0" fontId="17" fillId="0" borderId="1" xfId="6" applyFont="1" applyBorder="1" applyAlignment="1">
      <alignment horizontal="center" vertical="center" wrapText="1"/>
    </xf>
    <xf numFmtId="0" fontId="17" fillId="0" borderId="1" xfId="6" applyFont="1" applyBorder="1" applyAlignment="1">
      <alignment horizontal="center" wrapText="1"/>
    </xf>
    <xf numFmtId="0" fontId="17" fillId="2" borderId="1" xfId="6" applyFont="1" applyFill="1" applyBorder="1" applyAlignment="1">
      <alignment horizontal="center" wrapText="1"/>
    </xf>
    <xf numFmtId="0" fontId="17" fillId="0" borderId="1" xfId="6" applyFont="1" applyFill="1" applyBorder="1" applyAlignment="1">
      <alignment horizontal="justify" vertical="center" wrapText="1"/>
    </xf>
    <xf numFmtId="177" fontId="12" fillId="2" borderId="1" xfId="6" applyNumberFormat="1" applyFont="1" applyFill="1" applyBorder="1" applyAlignment="1">
      <alignment vertical="center" wrapText="1"/>
    </xf>
    <xf numFmtId="0" fontId="12" fillId="0" borderId="1" xfId="6" applyFont="1" applyBorder="1" applyAlignment="1">
      <alignment horizontal="center" vertical="center" wrapText="1"/>
    </xf>
    <xf numFmtId="0" fontId="12" fillId="0" borderId="1" xfId="6" applyFont="1" applyBorder="1" applyAlignment="1">
      <alignment horizontal="center" wrapText="1"/>
    </xf>
    <xf numFmtId="0" fontId="12" fillId="2" borderId="1" xfId="6" applyFont="1" applyFill="1" applyBorder="1" applyAlignment="1">
      <alignment horizontal="center" wrapText="1"/>
    </xf>
    <xf numFmtId="0" fontId="21" fillId="0" borderId="1" xfId="6" applyFont="1" applyFill="1" applyBorder="1" applyAlignment="1">
      <alignment horizontal="justify" vertical="center" wrapText="1"/>
    </xf>
    <xf numFmtId="0" fontId="6" fillId="0" borderId="1" xfId="6" applyFont="1" applyBorder="1" applyAlignment="1">
      <alignment horizontal="justify" vertical="center" wrapText="1"/>
    </xf>
    <xf numFmtId="164" fontId="13" fillId="10" borderId="4" xfId="3" applyFont="1" applyFill="1" applyBorder="1" applyAlignment="1">
      <alignment horizontal="center" vertical="center"/>
    </xf>
    <xf numFmtId="164" fontId="13" fillId="10" borderId="1" xfId="3" applyFont="1" applyFill="1" applyBorder="1" applyAlignment="1">
      <alignment horizontal="center" vertical="center"/>
    </xf>
    <xf numFmtId="0" fontId="14" fillId="10" borderId="1" xfId="6" applyFont="1" applyFill="1" applyBorder="1" applyAlignment="1">
      <alignment horizontal="center" vertical="center" wrapText="1"/>
    </xf>
    <xf numFmtId="9" fontId="13" fillId="2" borderId="1" xfId="7" applyFont="1" applyFill="1" applyBorder="1" applyAlignment="1">
      <alignment horizontal="left" vertical="center"/>
    </xf>
    <xf numFmtId="173" fontId="16" fillId="2" borderId="5" xfId="3" applyNumberFormat="1" applyFont="1" applyFill="1" applyBorder="1" applyAlignment="1">
      <alignment horizontal="left" vertical="center"/>
    </xf>
    <xf numFmtId="0" fontId="6" fillId="0" borderId="1" xfId="6" applyNumberFormat="1" applyFont="1" applyFill="1" applyBorder="1" applyAlignment="1">
      <alignment horizontal="justify" vertical="center" wrapText="1"/>
    </xf>
    <xf numFmtId="0" fontId="21" fillId="2" borderId="1" xfId="6" applyFont="1" applyFill="1" applyBorder="1" applyAlignment="1">
      <alignment horizontal="center" vertical="center" wrapText="1"/>
    </xf>
    <xf numFmtId="0" fontId="21" fillId="0" borderId="1" xfId="6" applyFont="1" applyBorder="1" applyAlignment="1">
      <alignment horizontal="center" vertical="center" wrapText="1"/>
    </xf>
    <xf numFmtId="0" fontId="6" fillId="0" borderId="12" xfId="6" applyFont="1" applyFill="1" applyBorder="1" applyAlignment="1">
      <alignment horizontal="justify" vertical="center" wrapText="1"/>
    </xf>
    <xf numFmtId="0" fontId="12" fillId="10" borderId="4" xfId="6" applyFont="1" applyFill="1" applyBorder="1" applyAlignment="1">
      <alignment horizontal="left" vertical="center"/>
    </xf>
    <xf numFmtId="172" fontId="13" fillId="10" borderId="5" xfId="6" applyNumberFormat="1" applyFont="1" applyFill="1" applyBorder="1" applyAlignment="1">
      <alignment horizontal="left" vertical="center"/>
    </xf>
    <xf numFmtId="177" fontId="13" fillId="10" borderId="3" xfId="6" applyNumberFormat="1" applyFont="1" applyFill="1" applyBorder="1" applyAlignment="1">
      <alignment vertical="center" wrapText="1"/>
    </xf>
    <xf numFmtId="0" fontId="14" fillId="10" borderId="10" xfId="6" applyFont="1" applyFill="1" applyBorder="1" applyAlignment="1">
      <alignment horizontal="justify" vertical="center" wrapText="1"/>
    </xf>
    <xf numFmtId="177" fontId="12" fillId="2" borderId="1" xfId="6" applyNumberFormat="1" applyFont="1" applyFill="1" applyBorder="1" applyAlignment="1">
      <alignment horizontal="left" vertical="center"/>
    </xf>
    <xf numFmtId="0" fontId="12" fillId="2" borderId="5" xfId="6" applyFont="1" applyFill="1" applyBorder="1" applyAlignment="1">
      <alignment horizontal="left" vertical="center"/>
    </xf>
    <xf numFmtId="172" fontId="12" fillId="2" borderId="5" xfId="6" applyNumberFormat="1" applyFont="1" applyFill="1" applyBorder="1" applyAlignment="1">
      <alignment horizontal="left" vertical="center"/>
    </xf>
    <xf numFmtId="172" fontId="17" fillId="9" borderId="3" xfId="5" applyNumberFormat="1" applyFont="1" applyFill="1" applyBorder="1" applyAlignment="1">
      <alignment horizontal="right" vertical="center" wrapText="1"/>
    </xf>
    <xf numFmtId="172" fontId="17" fillId="2" borderId="7" xfId="5" applyNumberFormat="1" applyFont="1" applyFill="1" applyBorder="1" applyAlignment="1">
      <alignment horizontal="right" vertical="center" wrapText="1"/>
    </xf>
    <xf numFmtId="172" fontId="17" fillId="2" borderId="3" xfId="5" applyNumberFormat="1" applyFont="1" applyFill="1" applyBorder="1" applyAlignment="1">
      <alignment horizontal="right" vertical="center" wrapText="1"/>
    </xf>
    <xf numFmtId="177" fontId="17" fillId="2" borderId="3" xfId="6" applyNumberFormat="1" applyFont="1" applyFill="1" applyBorder="1" applyAlignment="1">
      <alignment vertical="center" wrapText="1"/>
    </xf>
    <xf numFmtId="0" fontId="17" fillId="0" borderId="8" xfId="6" applyFont="1" applyBorder="1" applyAlignment="1">
      <alignment horizontal="center" vertical="center" wrapText="1"/>
    </xf>
    <xf numFmtId="0" fontId="17" fillId="2" borderId="8" xfId="6" applyFont="1" applyFill="1" applyBorder="1" applyAlignment="1">
      <alignment horizontal="center" vertical="center" wrapText="1"/>
    </xf>
    <xf numFmtId="0" fontId="17" fillId="2" borderId="1" xfId="6" applyFont="1" applyFill="1" applyBorder="1" applyAlignment="1">
      <alignment horizontal="justify" vertical="center" wrapText="1"/>
    </xf>
    <xf numFmtId="172" fontId="12" fillId="7" borderId="1" xfId="5" applyNumberFormat="1" applyFont="1" applyFill="1" applyBorder="1" applyAlignment="1">
      <alignment horizontal="left" vertical="center"/>
    </xf>
    <xf numFmtId="177" fontId="12" fillId="2" borderId="13" xfId="6" applyNumberFormat="1" applyFont="1" applyFill="1" applyBorder="1" applyAlignment="1">
      <alignment vertical="center" wrapText="1"/>
    </xf>
    <xf numFmtId="0" fontId="21" fillId="0" borderId="8" xfId="6" applyFont="1" applyBorder="1" applyAlignment="1">
      <alignment horizontal="center" vertical="center" wrapText="1"/>
    </xf>
    <xf numFmtId="0" fontId="6" fillId="2" borderId="8" xfId="6" applyFont="1" applyFill="1" applyBorder="1" applyAlignment="1">
      <alignment horizontal="center" vertical="center" wrapText="1"/>
    </xf>
    <xf numFmtId="0" fontId="6" fillId="2" borderId="1" xfId="6" applyFont="1" applyFill="1" applyBorder="1" applyAlignment="1">
      <alignment horizontal="justify" vertical="center" wrapText="1"/>
    </xf>
    <xf numFmtId="177" fontId="12" fillId="2" borderId="3" xfId="6" applyNumberFormat="1" applyFont="1" applyFill="1" applyBorder="1" applyAlignment="1">
      <alignment vertical="center" wrapText="1"/>
    </xf>
    <xf numFmtId="0" fontId="21" fillId="0" borderId="1" xfId="6" applyFont="1" applyBorder="1" applyAlignment="1">
      <alignment horizontal="justify" vertical="center" wrapText="1"/>
    </xf>
    <xf numFmtId="0" fontId="12" fillId="2" borderId="4" xfId="6" applyFont="1" applyFill="1" applyBorder="1" applyAlignment="1">
      <alignment horizontal="left" vertical="center" wrapText="1"/>
    </xf>
    <xf numFmtId="0" fontId="16" fillId="0" borderId="1" xfId="6" applyFont="1" applyBorder="1" applyAlignment="1">
      <alignment horizontal="justify" vertical="center" wrapText="1"/>
    </xf>
    <xf numFmtId="177" fontId="12" fillId="2" borderId="12" xfId="6" applyNumberFormat="1" applyFont="1" applyFill="1" applyBorder="1" applyAlignment="1">
      <alignment vertical="center" wrapText="1"/>
    </xf>
    <xf numFmtId="172" fontId="12" fillId="7" borderId="4" xfId="6" applyNumberFormat="1" applyFont="1" applyFill="1" applyBorder="1" applyAlignment="1">
      <alignment horizontal="left" vertical="center"/>
    </xf>
    <xf numFmtId="172" fontId="12" fillId="7" borderId="1" xfId="6" applyNumberFormat="1" applyFont="1" applyFill="1" applyBorder="1" applyAlignment="1">
      <alignment horizontal="left" vertical="center"/>
    </xf>
    <xf numFmtId="0" fontId="12" fillId="7" borderId="4" xfId="6" applyFont="1" applyFill="1" applyBorder="1" applyAlignment="1">
      <alignment horizontal="left" vertical="center"/>
    </xf>
    <xf numFmtId="172" fontId="5" fillId="7" borderId="5" xfId="5" applyNumberFormat="1" applyFont="1" applyFill="1" applyBorder="1" applyAlignment="1">
      <alignment horizontal="right" vertical="center" wrapText="1"/>
    </xf>
    <xf numFmtId="0" fontId="12" fillId="7" borderId="1" xfId="6" applyFont="1" applyFill="1" applyBorder="1" applyAlignment="1">
      <alignment horizontal="center" vertical="center" wrapText="1"/>
    </xf>
    <xf numFmtId="0" fontId="13" fillId="7" borderId="5" xfId="6" applyFont="1" applyFill="1" applyBorder="1" applyAlignment="1">
      <alignment horizontal="center" vertical="center"/>
    </xf>
    <xf numFmtId="0" fontId="12" fillId="9" borderId="4" xfId="6" applyFont="1" applyFill="1" applyBorder="1" applyAlignment="1">
      <alignment horizontal="left" vertical="center"/>
    </xf>
    <xf numFmtId="172" fontId="13" fillId="9" borderId="1" xfId="6" applyNumberFormat="1" applyFont="1" applyFill="1" applyBorder="1" applyAlignment="1">
      <alignment horizontal="left" vertical="center"/>
    </xf>
    <xf numFmtId="172" fontId="5" fillId="9" borderId="5" xfId="5" applyNumberFormat="1" applyFont="1" applyFill="1" applyBorder="1" applyAlignment="1">
      <alignment horizontal="right" vertical="center" wrapText="1"/>
    </xf>
    <xf numFmtId="172" fontId="13" fillId="10" borderId="8" xfId="6" applyNumberFormat="1" applyFont="1" applyFill="1" applyBorder="1" applyAlignment="1">
      <alignment horizontal="right" vertical="center" wrapText="1"/>
    </xf>
    <xf numFmtId="0" fontId="12" fillId="10" borderId="1" xfId="6" applyFont="1" applyFill="1" applyBorder="1" applyAlignment="1">
      <alignment horizontal="center" vertical="center" wrapText="1"/>
    </xf>
    <xf numFmtId="0" fontId="16" fillId="10" borderId="1" xfId="6" applyFont="1" applyFill="1" applyBorder="1" applyAlignment="1">
      <alignment horizontal="left" vertical="center"/>
    </xf>
    <xf numFmtId="172" fontId="6" fillId="2" borderId="5" xfId="5" applyNumberFormat="1" applyFont="1" applyFill="1" applyBorder="1" applyAlignment="1">
      <alignment horizontal="right" vertical="center" wrapText="1"/>
    </xf>
    <xf numFmtId="165" fontId="6" fillId="2" borderId="8" xfId="6" applyNumberFormat="1" applyFont="1" applyFill="1" applyBorder="1" applyAlignment="1">
      <alignment horizontal="right" vertical="center" wrapText="1"/>
    </xf>
    <xf numFmtId="0" fontId="12" fillId="2" borderId="1" xfId="6" applyFont="1" applyFill="1" applyBorder="1" applyAlignment="1">
      <alignment horizontal="justify" vertical="center" wrapText="1"/>
    </xf>
    <xf numFmtId="173" fontId="6" fillId="0" borderId="1" xfId="3" applyNumberFormat="1" applyFont="1" applyFill="1" applyBorder="1" applyAlignment="1">
      <alignment horizontal="center" vertical="center" wrapText="1"/>
    </xf>
    <xf numFmtId="165" fontId="6" fillId="2" borderId="1" xfId="6" applyNumberFormat="1" applyFont="1" applyFill="1" applyBorder="1" applyAlignment="1">
      <alignment horizontal="right" vertical="center" wrapText="1"/>
    </xf>
    <xf numFmtId="0" fontId="21" fillId="0" borderId="5" xfId="6" applyFont="1" applyBorder="1" applyAlignment="1">
      <alignment horizontal="justify" vertical="center" wrapText="1"/>
    </xf>
    <xf numFmtId="173" fontId="6" fillId="0" borderId="5" xfId="3" applyNumberFormat="1" applyFont="1" applyFill="1" applyBorder="1" applyAlignment="1">
      <alignment horizontal="center" vertical="center" wrapText="1"/>
    </xf>
    <xf numFmtId="0" fontId="21" fillId="2" borderId="8" xfId="6" applyFont="1" applyFill="1" applyBorder="1" applyAlignment="1">
      <alignment horizontal="center" vertical="center" wrapText="1"/>
    </xf>
    <xf numFmtId="0" fontId="21" fillId="2" borderId="5" xfId="6" applyFont="1" applyFill="1" applyBorder="1" applyAlignment="1">
      <alignment horizontal="justify" vertical="center" wrapText="1"/>
    </xf>
    <xf numFmtId="172" fontId="12" fillId="11" borderId="1" xfId="5" applyNumberFormat="1" applyFont="1" applyFill="1" applyBorder="1" applyAlignment="1">
      <alignment horizontal="left" vertical="center"/>
    </xf>
    <xf numFmtId="0" fontId="6" fillId="2" borderId="5" xfId="6" applyFont="1" applyFill="1" applyBorder="1" applyAlignment="1">
      <alignment horizontal="justify" vertical="center" wrapText="1"/>
    </xf>
    <xf numFmtId="0" fontId="6" fillId="0" borderId="5" xfId="6" applyFont="1" applyBorder="1" applyAlignment="1">
      <alignment horizontal="justify" vertical="center" wrapText="1"/>
    </xf>
    <xf numFmtId="172" fontId="12" fillId="9" borderId="4" xfId="6" applyNumberFormat="1" applyFont="1" applyFill="1" applyBorder="1" applyAlignment="1">
      <alignment horizontal="left" vertical="center"/>
    </xf>
    <xf numFmtId="172" fontId="12" fillId="9" borderId="1" xfId="6" applyNumberFormat="1" applyFont="1" applyFill="1" applyBorder="1" applyAlignment="1">
      <alignment horizontal="left" vertical="center"/>
    </xf>
    <xf numFmtId="172" fontId="12" fillId="10" borderId="4" xfId="6" applyNumberFormat="1" applyFont="1" applyFill="1" applyBorder="1" applyAlignment="1">
      <alignment horizontal="left" vertical="center"/>
    </xf>
    <xf numFmtId="172" fontId="12" fillId="10" borderId="1" xfId="6" applyNumberFormat="1" applyFont="1" applyFill="1" applyBorder="1" applyAlignment="1">
      <alignment horizontal="left" vertical="center"/>
    </xf>
    <xf numFmtId="172" fontId="13" fillId="10" borderId="10" xfId="6" applyNumberFormat="1" applyFont="1" applyFill="1" applyBorder="1" applyAlignment="1">
      <alignment horizontal="right" vertical="center" wrapText="1"/>
    </xf>
    <xf numFmtId="0" fontId="12" fillId="12" borderId="1" xfId="6" applyFont="1" applyFill="1" applyBorder="1" applyAlignment="1">
      <alignment horizontal="left" vertical="center"/>
    </xf>
    <xf numFmtId="172" fontId="12" fillId="0" borderId="1" xfId="5" applyNumberFormat="1" applyFont="1" applyFill="1" applyBorder="1" applyAlignment="1">
      <alignment vertical="center" wrapText="1"/>
    </xf>
    <xf numFmtId="165" fontId="21" fillId="2" borderId="1" xfId="6" applyNumberFormat="1" applyFont="1" applyFill="1" applyBorder="1" applyAlignment="1">
      <alignment horizontal="right" vertical="center" wrapText="1"/>
    </xf>
    <xf numFmtId="172" fontId="6" fillId="2" borderId="4" xfId="5" applyNumberFormat="1" applyFont="1" applyFill="1" applyBorder="1" applyAlignment="1">
      <alignment horizontal="right" vertical="center"/>
    </xf>
    <xf numFmtId="172" fontId="6" fillId="2" borderId="1" xfId="5" applyNumberFormat="1" applyFont="1" applyFill="1" applyBorder="1" applyAlignment="1">
      <alignment horizontal="right" vertical="center"/>
    </xf>
    <xf numFmtId="172" fontId="16" fillId="2" borderId="1" xfId="6" applyNumberFormat="1" applyFont="1" applyFill="1" applyBorder="1" applyAlignment="1">
      <alignment wrapText="1"/>
    </xf>
    <xf numFmtId="172" fontId="12" fillId="2" borderId="1" xfId="6" applyNumberFormat="1" applyFont="1" applyFill="1" applyBorder="1" applyAlignment="1">
      <alignment wrapText="1"/>
    </xf>
    <xf numFmtId="172" fontId="12" fillId="0" borderId="1" xfId="6" applyNumberFormat="1" applyFont="1" applyFill="1" applyBorder="1" applyAlignment="1">
      <alignment horizontal="left" vertical="center" wrapText="1"/>
    </xf>
    <xf numFmtId="172" fontId="16" fillId="2" borderId="1" xfId="5" applyNumberFormat="1" applyFont="1" applyFill="1" applyBorder="1" applyAlignment="1">
      <alignment horizontal="right" vertical="center"/>
    </xf>
    <xf numFmtId="172" fontId="16" fillId="0" borderId="1" xfId="5" applyNumberFormat="1" applyFont="1" applyFill="1" applyBorder="1" applyAlignment="1">
      <alignment vertical="center" wrapText="1"/>
    </xf>
    <xf numFmtId="165" fontId="16" fillId="2" borderId="1" xfId="6" applyNumberFormat="1" applyFont="1" applyFill="1" applyBorder="1" applyAlignment="1">
      <alignment horizontal="right" vertical="center" wrapText="1"/>
    </xf>
    <xf numFmtId="0" fontId="16" fillId="2" borderId="1" xfId="6" applyFont="1" applyFill="1" applyBorder="1" applyAlignment="1">
      <alignment horizontal="justify" vertical="center" wrapText="1"/>
    </xf>
    <xf numFmtId="165" fontId="12" fillId="0" borderId="1" xfId="6" applyNumberFormat="1" applyFont="1" applyFill="1" applyBorder="1" applyAlignment="1">
      <alignment horizontal="left" vertical="center"/>
    </xf>
    <xf numFmtId="0" fontId="21" fillId="2" borderId="1" xfId="6" applyFont="1" applyFill="1" applyBorder="1" applyAlignment="1">
      <alignment horizontal="justify" vertical="center" wrapText="1"/>
    </xf>
    <xf numFmtId="172" fontId="16" fillId="2" borderId="1" xfId="5" applyNumberFormat="1" applyFont="1" applyFill="1" applyBorder="1" applyAlignment="1">
      <alignment vertical="center" wrapText="1"/>
    </xf>
    <xf numFmtId="0" fontId="16" fillId="2" borderId="4" xfId="6" applyFont="1" applyFill="1" applyBorder="1" applyAlignment="1">
      <alignment vertical="center" wrapText="1"/>
    </xf>
    <xf numFmtId="0" fontId="12" fillId="2" borderId="3" xfId="6" applyFont="1" applyFill="1" applyBorder="1" applyAlignment="1">
      <alignment horizontal="center" vertical="center" wrapText="1"/>
    </xf>
    <xf numFmtId="173" fontId="13" fillId="9" borderId="5" xfId="3" applyNumberFormat="1" applyFont="1" applyFill="1" applyBorder="1" applyAlignment="1">
      <alignment horizontal="center" vertical="center"/>
    </xf>
    <xf numFmtId="173" fontId="13" fillId="10" borderId="5" xfId="6" applyNumberFormat="1" applyFont="1" applyFill="1" applyBorder="1" applyAlignment="1">
      <alignment horizontal="left" vertical="center"/>
    </xf>
    <xf numFmtId="165" fontId="13" fillId="10" borderId="10" xfId="6" applyNumberFormat="1" applyFont="1" applyFill="1" applyBorder="1" applyAlignment="1">
      <alignment horizontal="right" vertical="center" wrapText="1"/>
    </xf>
    <xf numFmtId="172" fontId="13" fillId="9" borderId="1" xfId="5" applyNumberFormat="1" applyFont="1" applyFill="1" applyBorder="1" applyAlignment="1">
      <alignment horizontal="right" vertical="center"/>
    </xf>
    <xf numFmtId="172" fontId="13" fillId="2" borderId="14" xfId="5" applyNumberFormat="1" applyFont="1" applyFill="1" applyBorder="1" applyAlignment="1">
      <alignment horizontal="right" vertical="center"/>
    </xf>
    <xf numFmtId="172" fontId="13" fillId="2" borderId="10" xfId="5" applyNumberFormat="1" applyFont="1" applyFill="1" applyBorder="1" applyAlignment="1">
      <alignment horizontal="right" vertical="center"/>
    </xf>
    <xf numFmtId="172" fontId="12" fillId="0" borderId="1" xfId="5" applyNumberFormat="1" applyFont="1" applyFill="1" applyBorder="1" applyAlignment="1">
      <alignment horizontal="right" vertical="center"/>
    </xf>
    <xf numFmtId="172" fontId="13" fillId="2" borderId="8" xfId="5" applyNumberFormat="1" applyFont="1" applyFill="1" applyBorder="1" applyAlignment="1">
      <alignment horizontal="right" vertical="center"/>
    </xf>
    <xf numFmtId="172" fontId="12" fillId="2" borderId="10" xfId="6" applyNumberFormat="1" applyFont="1" applyFill="1" applyBorder="1" applyAlignment="1">
      <alignment horizontal="right" vertical="center" wrapText="1"/>
    </xf>
    <xf numFmtId="0" fontId="12" fillId="0" borderId="8" xfId="6" applyFont="1" applyBorder="1" applyAlignment="1">
      <alignment horizontal="center" vertical="center" wrapText="1"/>
    </xf>
    <xf numFmtId="0" fontId="21" fillId="2" borderId="3" xfId="6" applyFont="1" applyFill="1" applyBorder="1" applyAlignment="1">
      <alignment horizontal="justify" vertical="center" wrapText="1"/>
    </xf>
    <xf numFmtId="172" fontId="13" fillId="2" borderId="4" xfId="5" applyNumberFormat="1" applyFont="1" applyFill="1" applyBorder="1" applyAlignment="1">
      <alignment horizontal="right" vertical="center"/>
    </xf>
    <xf numFmtId="172" fontId="13" fillId="2" borderId="1" xfId="5" applyNumberFormat="1" applyFont="1" applyFill="1" applyBorder="1" applyAlignment="1">
      <alignment horizontal="right" vertical="center"/>
    </xf>
    <xf numFmtId="172" fontId="13" fillId="2" borderId="5" xfId="5" applyNumberFormat="1" applyFont="1" applyFill="1" applyBorder="1" applyAlignment="1">
      <alignment horizontal="right" vertical="center"/>
    </xf>
    <xf numFmtId="172" fontId="12" fillId="2" borderId="1" xfId="6" applyNumberFormat="1" applyFont="1" applyFill="1" applyBorder="1" applyAlignment="1">
      <alignment horizontal="right" vertical="center" wrapText="1"/>
    </xf>
    <xf numFmtId="172" fontId="12" fillId="10" borderId="1" xfId="5" applyNumberFormat="1" applyFont="1" applyFill="1" applyBorder="1" applyAlignment="1">
      <alignment horizontal="left" vertical="center"/>
    </xf>
    <xf numFmtId="172" fontId="15" fillId="9" borderId="1" xfId="5" applyNumberFormat="1" applyFont="1" applyFill="1" applyBorder="1" applyAlignment="1">
      <alignment horizontal="right" vertical="center"/>
    </xf>
    <xf numFmtId="172" fontId="15" fillId="2" borderId="4" xfId="5" applyNumberFormat="1" applyFont="1" applyFill="1" applyBorder="1" applyAlignment="1">
      <alignment horizontal="right" vertical="center"/>
    </xf>
    <xf numFmtId="172" fontId="15" fillId="2" borderId="1" xfId="5" applyNumberFormat="1" applyFont="1" applyFill="1" applyBorder="1" applyAlignment="1">
      <alignment horizontal="right" vertical="center"/>
    </xf>
    <xf numFmtId="172" fontId="16" fillId="0" borderId="2" xfId="5" applyNumberFormat="1" applyFont="1" applyFill="1" applyBorder="1" applyAlignment="1">
      <alignment horizontal="right" vertical="center"/>
    </xf>
    <xf numFmtId="172" fontId="15" fillId="2" borderId="5" xfId="5" applyNumberFormat="1" applyFont="1" applyFill="1" applyBorder="1" applyAlignment="1">
      <alignment horizontal="right" vertical="center"/>
    </xf>
    <xf numFmtId="165" fontId="16" fillId="2" borderId="5" xfId="6" applyNumberFormat="1" applyFont="1" applyFill="1" applyBorder="1" applyAlignment="1">
      <alignment horizontal="right" vertical="center" wrapText="1"/>
    </xf>
    <xf numFmtId="0" fontId="16" fillId="0" borderId="8" xfId="6" applyFont="1" applyBorder="1" applyAlignment="1">
      <alignment horizontal="center" vertical="center" wrapText="1"/>
    </xf>
    <xf numFmtId="172" fontId="16" fillId="0" borderId="1" xfId="5" applyNumberFormat="1" applyFont="1" applyFill="1" applyBorder="1" applyAlignment="1">
      <alignment horizontal="left" vertical="center"/>
    </xf>
    <xf numFmtId="172" fontId="12" fillId="0" borderId="2" xfId="5" applyNumberFormat="1" applyFont="1" applyFill="1" applyBorder="1" applyAlignment="1">
      <alignment horizontal="right" vertical="center"/>
    </xf>
    <xf numFmtId="165" fontId="12" fillId="2" borderId="5" xfId="6" applyNumberFormat="1" applyFont="1" applyFill="1" applyBorder="1" applyAlignment="1">
      <alignment horizontal="right" vertical="center" wrapText="1"/>
    </xf>
    <xf numFmtId="165" fontId="12" fillId="0" borderId="5" xfId="6" applyNumberFormat="1" applyFont="1" applyFill="1" applyBorder="1" applyAlignment="1">
      <alignment horizontal="right" vertical="center" wrapText="1"/>
    </xf>
    <xf numFmtId="165" fontId="16" fillId="0" borderId="5" xfId="6" applyNumberFormat="1" applyFont="1" applyFill="1" applyBorder="1" applyAlignment="1">
      <alignment horizontal="right" vertical="center" wrapText="1"/>
    </xf>
    <xf numFmtId="165" fontId="6" fillId="0" borderId="5" xfId="6" applyNumberFormat="1" applyFont="1" applyFill="1" applyBorder="1" applyAlignment="1">
      <alignment horizontal="right" vertical="center" wrapText="1"/>
    </xf>
    <xf numFmtId="0" fontId="6" fillId="0" borderId="8" xfId="6" applyFont="1" applyBorder="1" applyAlignment="1">
      <alignment horizontal="center" vertical="center" wrapText="1"/>
    </xf>
    <xf numFmtId="165" fontId="6" fillId="2" borderId="5" xfId="6" applyNumberFormat="1" applyFont="1" applyFill="1" applyBorder="1" applyAlignment="1">
      <alignment horizontal="right" vertical="center" wrapText="1"/>
    </xf>
    <xf numFmtId="172" fontId="12" fillId="0" borderId="5" xfId="6" applyNumberFormat="1" applyFont="1" applyFill="1" applyBorder="1" applyAlignment="1">
      <alignment horizontal="left" vertical="center"/>
    </xf>
    <xf numFmtId="173" fontId="13" fillId="7" borderId="4" xfId="6" applyNumberFormat="1" applyFont="1" applyFill="1" applyBorder="1" applyAlignment="1">
      <alignment horizontal="left" vertical="center"/>
    </xf>
    <xf numFmtId="173" fontId="13" fillId="7" borderId="1" xfId="6" applyNumberFormat="1" applyFont="1" applyFill="1" applyBorder="1" applyAlignment="1">
      <alignment horizontal="left" vertical="center"/>
    </xf>
    <xf numFmtId="172" fontId="13" fillId="7" borderId="3" xfId="5" applyNumberFormat="1" applyFont="1" applyFill="1" applyBorder="1" applyAlignment="1">
      <alignment horizontal="right" vertical="center"/>
    </xf>
    <xf numFmtId="0" fontId="13" fillId="7" borderId="6" xfId="6" applyFont="1" applyFill="1" applyBorder="1" applyAlignment="1">
      <alignment horizontal="center" vertical="center"/>
    </xf>
    <xf numFmtId="172" fontId="13" fillId="9" borderId="4" xfId="6" applyNumberFormat="1" applyFont="1" applyFill="1" applyBorder="1" applyAlignment="1">
      <alignment horizontal="left" vertical="center"/>
    </xf>
    <xf numFmtId="0" fontId="5" fillId="9" borderId="5" xfId="6" applyFont="1" applyFill="1" applyBorder="1" applyAlignment="1">
      <alignment horizontal="center" vertical="center" wrapText="1"/>
    </xf>
    <xf numFmtId="172" fontId="13" fillId="10" borderId="4" xfId="6" applyNumberFormat="1" applyFont="1" applyFill="1" applyBorder="1" applyAlignment="1">
      <alignment horizontal="left" vertical="center"/>
    </xf>
    <xf numFmtId="172" fontId="13" fillId="10" borderId="1" xfId="6" applyNumberFormat="1" applyFont="1" applyFill="1" applyBorder="1" applyAlignment="1">
      <alignment horizontal="left" vertical="center"/>
    </xf>
    <xf numFmtId="172" fontId="13" fillId="10" borderId="4" xfId="6" applyNumberFormat="1" applyFont="1" applyFill="1" applyBorder="1" applyAlignment="1">
      <alignment horizontal="right" vertical="center" wrapText="1"/>
    </xf>
    <xf numFmtId="172" fontId="5" fillId="2" borderId="4" xfId="5" applyNumberFormat="1" applyFont="1" applyFill="1" applyBorder="1" applyAlignment="1">
      <alignment horizontal="right" vertical="center"/>
    </xf>
    <xf numFmtId="172" fontId="5" fillId="2" borderId="1" xfId="5" applyNumberFormat="1" applyFont="1" applyFill="1" applyBorder="1" applyAlignment="1">
      <alignment horizontal="right" vertical="center"/>
    </xf>
    <xf numFmtId="165" fontId="21" fillId="2" borderId="1" xfId="6" applyNumberFormat="1" applyFont="1" applyFill="1" applyBorder="1" applyAlignment="1">
      <alignment vertical="center" wrapText="1"/>
    </xf>
    <xf numFmtId="0" fontId="21" fillId="0" borderId="5" xfId="6" applyFont="1" applyBorder="1" applyAlignment="1">
      <alignment horizontal="center" vertical="center" wrapText="1"/>
    </xf>
    <xf numFmtId="0" fontId="21" fillId="2" borderId="5" xfId="6" applyFont="1" applyFill="1" applyBorder="1" applyAlignment="1">
      <alignment horizontal="center" vertical="center" wrapText="1"/>
    </xf>
    <xf numFmtId="172" fontId="12" fillId="0" borderId="4" xfId="6" applyNumberFormat="1" applyFont="1" applyFill="1" applyBorder="1" applyAlignment="1">
      <alignment horizontal="left" vertical="center"/>
    </xf>
    <xf numFmtId="173" fontId="6" fillId="0" borderId="1" xfId="3" applyNumberFormat="1" applyFont="1" applyFill="1" applyBorder="1" applyAlignment="1">
      <alignment horizontal="left" vertical="center"/>
    </xf>
    <xf numFmtId="172" fontId="6" fillId="2" borderId="5" xfId="5" applyNumberFormat="1" applyFont="1" applyFill="1" applyBorder="1" applyAlignment="1">
      <alignment vertical="center"/>
    </xf>
    <xf numFmtId="0" fontId="12" fillId="0" borderId="1" xfId="6" applyFont="1" applyBorder="1" applyAlignment="1">
      <alignment horizontal="justify" vertical="center" wrapText="1"/>
    </xf>
    <xf numFmtId="173" fontId="13" fillId="9" borderId="4" xfId="6" applyNumberFormat="1" applyFont="1" applyFill="1" applyBorder="1" applyAlignment="1">
      <alignment horizontal="left" vertical="center"/>
    </xf>
    <xf numFmtId="173" fontId="13" fillId="9" borderId="1" xfId="6" applyNumberFormat="1" applyFont="1" applyFill="1" applyBorder="1" applyAlignment="1">
      <alignment horizontal="left" vertical="center"/>
    </xf>
    <xf numFmtId="164" fontId="13" fillId="10" borderId="4" xfId="3" applyFont="1" applyFill="1" applyBorder="1" applyAlignment="1">
      <alignment horizontal="left" vertical="center"/>
    </xf>
    <xf numFmtId="164" fontId="13" fillId="10" borderId="1" xfId="3" applyFont="1" applyFill="1" applyBorder="1" applyAlignment="1">
      <alignment horizontal="left" vertical="center"/>
    </xf>
    <xf numFmtId="164" fontId="12" fillId="10" borderId="1" xfId="3" applyFont="1" applyFill="1" applyBorder="1" applyAlignment="1">
      <alignment horizontal="left" vertical="center"/>
    </xf>
    <xf numFmtId="172" fontId="16" fillId="2" borderId="4" xfId="5" applyNumberFormat="1" applyFont="1" applyFill="1" applyBorder="1" applyAlignment="1">
      <alignment horizontal="right" vertical="center" wrapText="1"/>
    </xf>
    <xf numFmtId="172" fontId="12" fillId="2" borderId="5" xfId="5" applyNumberFormat="1" applyFont="1" applyFill="1" applyBorder="1" applyAlignment="1">
      <alignment horizontal="right" vertical="center" wrapText="1"/>
    </xf>
    <xf numFmtId="0" fontId="6" fillId="2" borderId="1" xfId="6" applyFont="1" applyFill="1" applyBorder="1" applyAlignment="1">
      <alignment vertical="center" wrapText="1"/>
    </xf>
    <xf numFmtId="0" fontId="12" fillId="0" borderId="10" xfId="6" applyFont="1" applyBorder="1" applyAlignment="1">
      <alignment horizontal="center" vertical="center" wrapText="1"/>
    </xf>
    <xf numFmtId="0" fontId="12" fillId="0" borderId="9" xfId="6" applyFont="1" applyBorder="1" applyAlignment="1">
      <alignment horizontal="center" vertical="center" wrapText="1"/>
    </xf>
    <xf numFmtId="164" fontId="12" fillId="0" borderId="0" xfId="6" applyNumberFormat="1" applyFont="1" applyFill="1" applyAlignment="1">
      <alignment horizontal="left" vertical="center"/>
    </xf>
    <xf numFmtId="172" fontId="17" fillId="2" borderId="1" xfId="5" applyNumberFormat="1" applyFont="1" applyFill="1" applyBorder="1" applyAlignment="1">
      <alignment horizontal="right" vertical="center"/>
    </xf>
    <xf numFmtId="172" fontId="17" fillId="2" borderId="5" xfId="5" applyNumberFormat="1" applyFont="1" applyFill="1" applyBorder="1" applyAlignment="1">
      <alignment horizontal="right" vertical="center" wrapText="1"/>
    </xf>
    <xf numFmtId="0" fontId="17" fillId="2" borderId="1" xfId="6" applyFont="1" applyFill="1" applyBorder="1" applyAlignment="1">
      <alignment vertical="center" wrapText="1"/>
    </xf>
    <xf numFmtId="172" fontId="6" fillId="2" borderId="4" xfId="5" applyNumberFormat="1" applyFont="1" applyFill="1" applyBorder="1" applyAlignment="1">
      <alignment horizontal="right" vertical="center" wrapText="1"/>
    </xf>
    <xf numFmtId="172" fontId="12" fillId="2" borderId="1" xfId="5" applyNumberFormat="1" applyFont="1" applyFill="1" applyBorder="1" applyAlignment="1">
      <alignment horizontal="right" vertical="center"/>
    </xf>
    <xf numFmtId="0" fontId="21" fillId="2" borderId="1" xfId="6" applyFont="1" applyFill="1" applyBorder="1" applyAlignment="1">
      <alignment vertical="center" wrapText="1"/>
    </xf>
    <xf numFmtId="0" fontId="21" fillId="0" borderId="1" xfId="6" applyFont="1" applyBorder="1" applyAlignment="1">
      <alignment vertical="center" wrapText="1"/>
    </xf>
    <xf numFmtId="164" fontId="12" fillId="0" borderId="0" xfId="3" applyFont="1" applyFill="1" applyAlignment="1">
      <alignment horizontal="left" vertical="center"/>
    </xf>
    <xf numFmtId="0" fontId="12" fillId="0" borderId="3" xfId="6" applyFont="1" applyBorder="1" applyAlignment="1">
      <alignment horizontal="center" vertical="center" wrapText="1"/>
    </xf>
    <xf numFmtId="0" fontId="12" fillId="10" borderId="4" xfId="6" applyFont="1" applyFill="1" applyBorder="1" applyAlignment="1">
      <alignment horizontal="left" vertical="center" wrapText="1"/>
    </xf>
    <xf numFmtId="0" fontId="6" fillId="2" borderId="1" xfId="6" applyFont="1" applyFill="1" applyBorder="1" applyAlignment="1">
      <alignment horizontal="left" vertical="center" wrapText="1"/>
    </xf>
    <xf numFmtId="172" fontId="12" fillId="2" borderId="1" xfId="6" applyNumberFormat="1" applyFont="1" applyFill="1" applyBorder="1" applyAlignment="1">
      <alignment horizontal="left" vertical="center"/>
    </xf>
    <xf numFmtId="165" fontId="13" fillId="9" borderId="1" xfId="6" applyNumberFormat="1" applyFont="1" applyFill="1" applyBorder="1" applyAlignment="1">
      <alignment horizontal="right" vertical="center" wrapText="1"/>
    </xf>
    <xf numFmtId="165" fontId="12" fillId="2" borderId="4" xfId="6" applyNumberFormat="1" applyFont="1" applyFill="1" applyBorder="1" applyAlignment="1">
      <alignment horizontal="right" vertical="center" wrapText="1"/>
    </xf>
    <xf numFmtId="165" fontId="13" fillId="2" borderId="1" xfId="6" applyNumberFormat="1" applyFont="1" applyFill="1" applyBorder="1" applyAlignment="1">
      <alignment horizontal="right" vertical="center" wrapText="1"/>
    </xf>
    <xf numFmtId="172" fontId="13" fillId="2" borderId="5" xfId="6" applyNumberFormat="1" applyFont="1" applyFill="1" applyBorder="1" applyAlignment="1">
      <alignment horizontal="right" vertical="center" wrapText="1"/>
    </xf>
    <xf numFmtId="0" fontId="13" fillId="2" borderId="10" xfId="6" applyFont="1" applyFill="1" applyBorder="1" applyAlignment="1">
      <alignment horizontal="center" vertical="center" wrapText="1"/>
    </xf>
    <xf numFmtId="0" fontId="21" fillId="0" borderId="1" xfId="6" applyFont="1" applyBorder="1" applyAlignment="1">
      <alignment horizontal="justify" vertical="center"/>
    </xf>
    <xf numFmtId="0" fontId="6" fillId="0" borderId="1" xfId="6" applyFont="1" applyBorder="1" applyAlignment="1">
      <alignment horizontal="justify" vertical="center"/>
    </xf>
    <xf numFmtId="0" fontId="12" fillId="2" borderId="0" xfId="6" applyFont="1" applyFill="1" applyAlignment="1">
      <alignment horizontal="left" vertical="center" wrapText="1"/>
    </xf>
    <xf numFmtId="0" fontId="6" fillId="2" borderId="1" xfId="6" applyFont="1" applyFill="1" applyBorder="1" applyAlignment="1">
      <alignment horizontal="left" vertical="center"/>
    </xf>
    <xf numFmtId="165" fontId="15" fillId="9" borderId="1" xfId="6" applyNumberFormat="1" applyFont="1" applyFill="1" applyBorder="1" applyAlignment="1">
      <alignment horizontal="right" vertical="center" wrapText="1"/>
    </xf>
    <xf numFmtId="165" fontId="16" fillId="2" borderId="4" xfId="6" applyNumberFormat="1" applyFont="1" applyFill="1" applyBorder="1" applyAlignment="1">
      <alignment horizontal="right" vertical="center" wrapText="1"/>
    </xf>
    <xf numFmtId="165" fontId="15" fillId="2" borderId="1" xfId="6" applyNumberFormat="1" applyFont="1" applyFill="1" applyBorder="1" applyAlignment="1">
      <alignment horizontal="right" vertical="center" wrapText="1"/>
    </xf>
    <xf numFmtId="172" fontId="15" fillId="2" borderId="5" xfId="6" applyNumberFormat="1" applyFont="1" applyFill="1" applyBorder="1" applyAlignment="1">
      <alignment horizontal="right" vertical="center" wrapText="1"/>
    </xf>
    <xf numFmtId="0" fontId="15" fillId="2" borderId="10" xfId="6" applyFont="1" applyFill="1" applyBorder="1" applyAlignment="1">
      <alignment horizontal="center" vertical="center" wrapText="1"/>
    </xf>
    <xf numFmtId="0" fontId="16" fillId="0" borderId="1" xfId="6" applyFont="1" applyBorder="1" applyAlignment="1">
      <alignment horizontal="justify" vertical="center"/>
    </xf>
    <xf numFmtId="0" fontId="6" fillId="0" borderId="1" xfId="6" applyFont="1" applyBorder="1" applyAlignment="1">
      <alignment horizontal="center" vertical="center" wrapText="1"/>
    </xf>
    <xf numFmtId="0" fontId="5" fillId="2" borderId="10" xfId="6" applyFont="1" applyFill="1" applyBorder="1" applyAlignment="1">
      <alignment horizontal="center" vertical="center" wrapText="1"/>
    </xf>
    <xf numFmtId="173" fontId="12" fillId="10" borderId="4" xfId="3" applyNumberFormat="1" applyFont="1" applyFill="1" applyBorder="1" applyAlignment="1">
      <alignment horizontal="center" vertical="center"/>
    </xf>
    <xf numFmtId="173" fontId="12" fillId="10" borderId="1" xfId="3" applyNumberFormat="1" applyFont="1" applyFill="1" applyBorder="1" applyAlignment="1">
      <alignment horizontal="center" vertical="center"/>
    </xf>
    <xf numFmtId="172" fontId="13" fillId="10" borderId="5" xfId="6" applyNumberFormat="1" applyFont="1" applyFill="1" applyBorder="1" applyAlignment="1">
      <alignment horizontal="right" vertical="center" wrapText="1"/>
    </xf>
    <xf numFmtId="165" fontId="17" fillId="9" borderId="1" xfId="6" applyNumberFormat="1" applyFont="1" applyFill="1" applyBorder="1" applyAlignment="1">
      <alignment horizontal="right" vertical="center" wrapText="1"/>
    </xf>
    <xf numFmtId="165" fontId="17" fillId="2" borderId="4" xfId="6" applyNumberFormat="1" applyFont="1" applyFill="1" applyBorder="1" applyAlignment="1">
      <alignment horizontal="right" vertical="center" wrapText="1"/>
    </xf>
    <xf numFmtId="165" fontId="17" fillId="2" borderId="5" xfId="6" applyNumberFormat="1" applyFont="1" applyFill="1" applyBorder="1" applyAlignment="1">
      <alignment horizontal="right" vertical="center" wrapText="1"/>
    </xf>
    <xf numFmtId="177" fontId="17" fillId="2" borderId="6" xfId="6" applyNumberFormat="1" applyFont="1" applyFill="1" applyBorder="1" applyAlignment="1">
      <alignment horizontal="right" vertical="center" wrapText="1"/>
    </xf>
    <xf numFmtId="165" fontId="17" fillId="2" borderId="1" xfId="6" applyNumberFormat="1" applyFont="1" applyFill="1" applyBorder="1" applyAlignment="1">
      <alignment horizontal="right" vertical="center" wrapText="1"/>
    </xf>
    <xf numFmtId="172" fontId="17" fillId="2" borderId="5" xfId="6" applyNumberFormat="1" applyFont="1" applyFill="1" applyBorder="1" applyAlignment="1">
      <alignment horizontal="right" vertical="center" wrapText="1"/>
    </xf>
    <xf numFmtId="0" fontId="17" fillId="0" borderId="10" xfId="6" applyFont="1" applyBorder="1" applyAlignment="1">
      <alignment horizontal="center" vertical="center" wrapText="1"/>
    </xf>
    <xf numFmtId="0" fontId="17" fillId="2" borderId="10" xfId="6" applyFont="1" applyFill="1" applyBorder="1" applyAlignment="1">
      <alignment horizontal="center" vertical="center" wrapText="1"/>
    </xf>
    <xf numFmtId="0" fontId="17" fillId="0" borderId="1" xfId="6" applyFont="1" applyBorder="1" applyAlignment="1">
      <alignment horizontal="justify" vertical="center"/>
    </xf>
    <xf numFmtId="177" fontId="12" fillId="2" borderId="13" xfId="6" applyNumberFormat="1" applyFont="1" applyFill="1" applyBorder="1" applyAlignment="1">
      <alignment horizontal="right" vertical="center" wrapText="1"/>
    </xf>
    <xf numFmtId="0" fontId="5" fillId="0" borderId="1" xfId="6" applyFont="1" applyBorder="1" applyAlignment="1">
      <alignment horizontal="center" vertical="center" wrapText="1"/>
    </xf>
    <xf numFmtId="177" fontId="12" fillId="2" borderId="1" xfId="6" applyNumberFormat="1" applyFont="1" applyFill="1" applyBorder="1" applyAlignment="1">
      <alignment horizontal="right" vertical="center" wrapText="1"/>
    </xf>
    <xf numFmtId="177" fontId="12" fillId="0" borderId="1" xfId="6" applyNumberFormat="1" applyFont="1" applyBorder="1" applyAlignment="1">
      <alignment horizontal="right" vertical="center" wrapText="1"/>
    </xf>
    <xf numFmtId="177" fontId="12" fillId="0" borderId="12" xfId="6" applyNumberFormat="1" applyFont="1" applyBorder="1" applyAlignment="1">
      <alignment horizontal="right" vertical="center" wrapText="1"/>
    </xf>
    <xf numFmtId="172" fontId="13" fillId="10" borderId="4" xfId="7" applyNumberFormat="1" applyFont="1" applyFill="1" applyBorder="1" applyAlignment="1">
      <alignment horizontal="center" vertical="center"/>
    </xf>
    <xf numFmtId="172" fontId="13" fillId="10" borderId="1" xfId="7" applyNumberFormat="1" applyFont="1" applyFill="1" applyBorder="1" applyAlignment="1">
      <alignment horizontal="center" vertical="center"/>
    </xf>
    <xf numFmtId="172" fontId="12" fillId="10" borderId="5" xfId="6" applyNumberFormat="1" applyFont="1" applyFill="1" applyBorder="1" applyAlignment="1">
      <alignment horizontal="left" vertical="center"/>
    </xf>
    <xf numFmtId="172" fontId="12" fillId="2" borderId="4" xfId="6" applyNumberFormat="1" applyFont="1" applyFill="1" applyBorder="1" applyAlignment="1">
      <alignment horizontal="left" vertical="center"/>
    </xf>
    <xf numFmtId="172" fontId="12" fillId="2" borderId="1" xfId="6" applyNumberFormat="1" applyFont="1" applyFill="1" applyBorder="1" applyAlignment="1">
      <alignment horizontal="left" vertical="center" wrapText="1"/>
    </xf>
    <xf numFmtId="172" fontId="17" fillId="9" borderId="1" xfId="6" applyNumberFormat="1" applyFont="1" applyFill="1" applyBorder="1" applyAlignment="1">
      <alignment horizontal="right" vertical="center" wrapText="1"/>
    </xf>
    <xf numFmtId="172" fontId="17" fillId="2" borderId="10" xfId="6" applyNumberFormat="1" applyFont="1" applyFill="1" applyBorder="1" applyAlignment="1">
      <alignment horizontal="right" vertical="center" wrapText="1"/>
    </xf>
    <xf numFmtId="0" fontId="17" fillId="2" borderId="1" xfId="6" applyFont="1" applyFill="1" applyBorder="1" applyAlignment="1">
      <alignment horizontal="center" vertical="center" wrapText="1"/>
    </xf>
    <xf numFmtId="0" fontId="17" fillId="2" borderId="5" xfId="6" applyFont="1" applyFill="1" applyBorder="1" applyAlignment="1">
      <alignment horizontal="center" vertical="center" wrapText="1"/>
    </xf>
    <xf numFmtId="0" fontId="17" fillId="2" borderId="1" xfId="6" applyFont="1" applyFill="1" applyBorder="1" applyAlignment="1">
      <alignment horizontal="justify" vertical="center"/>
    </xf>
    <xf numFmtId="165" fontId="12" fillId="2" borderId="1" xfId="6" applyNumberFormat="1" applyFont="1" applyFill="1" applyBorder="1" applyAlignment="1">
      <alignment horizontal="right" vertical="center" wrapText="1"/>
    </xf>
    <xf numFmtId="0" fontId="21" fillId="2" borderId="1" xfId="6" applyFont="1" applyFill="1" applyBorder="1" applyAlignment="1">
      <alignment horizontal="justify" vertical="center"/>
    </xf>
    <xf numFmtId="172" fontId="13" fillId="10" borderId="1" xfId="6" applyNumberFormat="1" applyFont="1" applyFill="1" applyBorder="1" applyAlignment="1">
      <alignment horizontal="center" vertical="center" wrapText="1"/>
    </xf>
    <xf numFmtId="0" fontId="13" fillId="10" borderId="3" xfId="6" applyFont="1" applyFill="1" applyBorder="1" applyAlignment="1">
      <alignment horizontal="center" vertical="center" wrapText="1"/>
    </xf>
    <xf numFmtId="172" fontId="13" fillId="9" borderId="1" xfId="6" applyNumberFormat="1" applyFont="1" applyFill="1" applyBorder="1" applyAlignment="1">
      <alignment horizontal="right" vertical="center" wrapText="1"/>
    </xf>
    <xf numFmtId="172" fontId="6" fillId="2" borderId="10" xfId="6" applyNumberFormat="1" applyFont="1" applyFill="1" applyBorder="1" applyAlignment="1">
      <alignment horizontal="right" vertical="center" wrapText="1"/>
    </xf>
    <xf numFmtId="172" fontId="12" fillId="2" borderId="5" xfId="6" applyNumberFormat="1" applyFont="1" applyFill="1" applyBorder="1" applyAlignment="1">
      <alignment horizontal="right" vertical="center" wrapText="1"/>
    </xf>
    <xf numFmtId="0" fontId="21" fillId="0" borderId="11" xfId="6" applyFont="1" applyBorder="1" applyAlignment="1">
      <alignment horizontal="center" vertical="center" wrapText="1"/>
    </xf>
    <xf numFmtId="172" fontId="5" fillId="9" borderId="1" xfId="6" applyNumberFormat="1" applyFont="1" applyFill="1" applyBorder="1" applyAlignment="1">
      <alignment horizontal="right" vertical="center" wrapText="1"/>
    </xf>
    <xf numFmtId="165" fontId="6" fillId="2" borderId="4" xfId="6" applyNumberFormat="1" applyFont="1" applyFill="1" applyBorder="1" applyAlignment="1">
      <alignment horizontal="right" vertical="center" wrapText="1"/>
    </xf>
    <xf numFmtId="0" fontId="12" fillId="10" borderId="5" xfId="6" applyFont="1" applyFill="1" applyBorder="1" applyAlignment="1">
      <alignment horizontal="left" vertical="center"/>
    </xf>
    <xf numFmtId="17" fontId="12" fillId="2" borderId="1" xfId="6" applyNumberFormat="1" applyFont="1" applyFill="1" applyBorder="1" applyAlignment="1">
      <alignment horizontal="center" vertical="center" wrapText="1"/>
    </xf>
    <xf numFmtId="0" fontId="12" fillId="2" borderId="1" xfId="6" applyFont="1" applyFill="1" applyBorder="1" applyAlignment="1">
      <alignment vertical="center" wrapText="1"/>
    </xf>
    <xf numFmtId="0" fontId="5" fillId="7" borderId="1" xfId="6" applyFont="1" applyFill="1" applyBorder="1" applyAlignment="1">
      <alignment horizontal="center" vertical="center" wrapText="1"/>
    </xf>
    <xf numFmtId="0" fontId="5" fillId="9" borderId="1" xfId="6" applyFont="1" applyFill="1" applyBorder="1" applyAlignment="1">
      <alignment horizontal="center" vertical="center" wrapText="1"/>
    </xf>
    <xf numFmtId="172" fontId="5" fillId="10" borderId="4" xfId="5" applyNumberFormat="1" applyFont="1" applyFill="1" applyBorder="1" applyAlignment="1">
      <alignment horizontal="right" vertical="center"/>
    </xf>
    <xf numFmtId="173" fontId="13" fillId="10" borderId="4" xfId="7" applyNumberFormat="1" applyFont="1" applyFill="1" applyBorder="1" applyAlignment="1">
      <alignment horizontal="center" vertical="center"/>
    </xf>
    <xf numFmtId="173" fontId="13" fillId="10" borderId="1" xfId="7" applyNumberFormat="1" applyFont="1" applyFill="1" applyBorder="1" applyAlignment="1">
      <alignment horizontal="center" vertical="center"/>
    </xf>
    <xf numFmtId="9" fontId="13" fillId="0" borderId="1" xfId="7" applyFont="1" applyFill="1" applyBorder="1" applyAlignment="1">
      <alignment horizontal="center" vertical="center"/>
    </xf>
    <xf numFmtId="165" fontId="12" fillId="2" borderId="1" xfId="6" applyNumberFormat="1" applyFont="1" applyFill="1" applyBorder="1" applyAlignment="1">
      <alignment horizontal="center" vertical="center" wrapText="1"/>
    </xf>
    <xf numFmtId="0" fontId="18" fillId="0" borderId="1" xfId="6" applyFont="1" applyBorder="1" applyAlignment="1">
      <alignment vertical="center" wrapText="1"/>
    </xf>
    <xf numFmtId="0" fontId="6" fillId="2" borderId="4" xfId="6" applyFont="1" applyFill="1" applyBorder="1" applyAlignment="1">
      <alignment vertical="center" wrapText="1"/>
    </xf>
    <xf numFmtId="0" fontId="6" fillId="2" borderId="14" xfId="6" applyFont="1" applyFill="1" applyBorder="1" applyAlignment="1">
      <alignment horizontal="center" vertical="center" wrapText="1"/>
    </xf>
    <xf numFmtId="172" fontId="13" fillId="2" borderId="1" xfId="6" applyNumberFormat="1" applyFont="1" applyFill="1" applyBorder="1" applyAlignment="1">
      <alignment horizontal="right" vertical="center" wrapText="1"/>
    </xf>
    <xf numFmtId="0" fontId="6" fillId="2" borderId="10" xfId="6" applyFont="1" applyFill="1" applyBorder="1" applyAlignment="1">
      <alignment vertical="center" wrapText="1"/>
    </xf>
    <xf numFmtId="0" fontId="6" fillId="2" borderId="15" xfId="6" applyFont="1" applyFill="1" applyBorder="1" applyAlignment="1">
      <alignment vertical="center" wrapText="1"/>
    </xf>
    <xf numFmtId="0" fontId="6" fillId="2" borderId="9" xfId="6" applyFont="1" applyFill="1" applyBorder="1" applyAlignment="1">
      <alignment vertical="center" wrapText="1"/>
    </xf>
    <xf numFmtId="165" fontId="12" fillId="0" borderId="0" xfId="6" applyNumberFormat="1" applyFont="1" applyFill="1" applyAlignment="1">
      <alignment horizontal="left" vertical="center"/>
    </xf>
    <xf numFmtId="9" fontId="5" fillId="0" borderId="1" xfId="7" applyFont="1" applyFill="1" applyBorder="1" applyAlignment="1">
      <alignment horizontal="center" vertical="center"/>
    </xf>
    <xf numFmtId="173" fontId="16" fillId="0" borderId="5" xfId="3" applyNumberFormat="1" applyFont="1" applyFill="1" applyBorder="1" applyAlignment="1">
      <alignment horizontal="left" vertical="center"/>
    </xf>
    <xf numFmtId="172" fontId="17" fillId="9" borderId="1" xfId="5" applyNumberFormat="1" applyFont="1" applyFill="1" applyBorder="1" applyAlignment="1">
      <alignment horizontal="right" vertical="center"/>
    </xf>
    <xf numFmtId="172" fontId="15" fillId="9" borderId="4" xfId="5" applyNumberFormat="1" applyFont="1" applyFill="1" applyBorder="1" applyAlignment="1">
      <alignment horizontal="right" vertical="center"/>
    </xf>
    <xf numFmtId="165" fontId="16" fillId="2" borderId="1" xfId="6" applyNumberFormat="1" applyFont="1" applyFill="1" applyBorder="1" applyAlignment="1">
      <alignment horizontal="center" vertical="center" wrapText="1"/>
    </xf>
    <xf numFmtId="0" fontId="16" fillId="2" borderId="1" xfId="6" applyFont="1" applyFill="1" applyBorder="1" applyAlignment="1">
      <alignment vertical="center" wrapText="1"/>
    </xf>
    <xf numFmtId="0" fontId="17" fillId="0" borderId="4" xfId="6" applyFont="1" applyFill="1" applyBorder="1" applyAlignment="1">
      <alignment vertical="center" wrapText="1"/>
    </xf>
    <xf numFmtId="173" fontId="6" fillId="10" borderId="5" xfId="3" applyNumberFormat="1" applyFont="1" applyFill="1" applyBorder="1" applyAlignment="1">
      <alignment horizontal="left" vertical="center"/>
    </xf>
    <xf numFmtId="0" fontId="6" fillId="0" borderId="4" xfId="6" applyFont="1" applyFill="1" applyBorder="1" applyAlignment="1">
      <alignment vertical="center" wrapText="1"/>
    </xf>
    <xf numFmtId="172" fontId="17" fillId="2" borderId="4" xfId="5" applyNumberFormat="1" applyFont="1" applyFill="1" applyBorder="1" applyAlignment="1">
      <alignment horizontal="right" vertical="center"/>
    </xf>
    <xf numFmtId="165" fontId="17" fillId="2" borderId="1" xfId="6" applyNumberFormat="1" applyFont="1" applyFill="1" applyBorder="1" applyAlignment="1">
      <alignment horizontal="center" vertical="center" wrapText="1"/>
    </xf>
    <xf numFmtId="0" fontId="17" fillId="2" borderId="4" xfId="6" applyFont="1" applyFill="1" applyBorder="1" applyAlignment="1">
      <alignment vertical="center" wrapText="1"/>
    </xf>
    <xf numFmtId="0" fontId="6" fillId="0" borderId="1" xfId="6" applyFont="1" applyFill="1" applyBorder="1" applyAlignment="1">
      <alignment horizontal="left" vertical="center"/>
    </xf>
    <xf numFmtId="14" fontId="6" fillId="0" borderId="1" xfId="6" applyNumberFormat="1" applyFont="1" applyFill="1" applyBorder="1" applyAlignment="1">
      <alignment horizontal="left" vertical="center"/>
    </xf>
    <xf numFmtId="172" fontId="12" fillId="13" borderId="1" xfId="5" applyNumberFormat="1" applyFont="1" applyFill="1" applyBorder="1" applyAlignment="1">
      <alignment horizontal="left" vertical="center"/>
    </xf>
    <xf numFmtId="9" fontId="12" fillId="13" borderId="1" xfId="7" applyFont="1" applyFill="1" applyBorder="1" applyAlignment="1">
      <alignment vertical="center"/>
    </xf>
    <xf numFmtId="165" fontId="6" fillId="2" borderId="1" xfId="6" applyNumberFormat="1" applyFont="1" applyFill="1" applyBorder="1" applyAlignment="1">
      <alignment horizontal="center" vertical="center" wrapText="1"/>
    </xf>
    <xf numFmtId="177" fontId="17" fillId="2" borderId="1" xfId="6" applyNumberFormat="1" applyFont="1" applyFill="1" applyBorder="1" applyAlignment="1">
      <alignment horizontal="center" vertical="center" wrapText="1"/>
    </xf>
    <xf numFmtId="177" fontId="8" fillId="0" borderId="1" xfId="6" applyNumberFormat="1" applyFont="1" applyBorder="1" applyAlignment="1">
      <alignment horizontal="center" vertical="center" wrapText="1"/>
    </xf>
    <xf numFmtId="0" fontId="8" fillId="0" borderId="1" xfId="6" applyFont="1" applyBorder="1" applyAlignment="1">
      <alignment vertical="center" wrapText="1"/>
    </xf>
    <xf numFmtId="177" fontId="8" fillId="2" borderId="1" xfId="6" applyNumberFormat="1" applyFont="1" applyFill="1" applyBorder="1" applyAlignment="1">
      <alignment horizontal="center" vertical="center" wrapText="1"/>
    </xf>
    <xf numFmtId="172" fontId="17" fillId="10" borderId="1" xfId="5" applyNumberFormat="1" applyFont="1" applyFill="1" applyBorder="1" applyAlignment="1">
      <alignment horizontal="right" vertical="center"/>
    </xf>
    <xf numFmtId="172" fontId="17" fillId="10" borderId="4" xfId="5" applyNumberFormat="1" applyFont="1" applyFill="1" applyBorder="1" applyAlignment="1">
      <alignment horizontal="right" vertical="center"/>
    </xf>
    <xf numFmtId="0" fontId="17" fillId="2" borderId="4" xfId="6" applyNumberFormat="1" applyFont="1" applyFill="1" applyBorder="1" applyAlignment="1">
      <alignment vertical="center" wrapText="1"/>
    </xf>
    <xf numFmtId="0" fontId="6" fillId="2" borderId="4" xfId="6" applyNumberFormat="1" applyFont="1" applyFill="1" applyBorder="1" applyAlignment="1">
      <alignment vertical="center" wrapText="1"/>
    </xf>
    <xf numFmtId="173" fontId="12" fillId="0" borderId="4" xfId="3" applyNumberFormat="1" applyFont="1" applyFill="1" applyBorder="1" applyAlignment="1">
      <alignment horizontal="center" vertical="center"/>
    </xf>
    <xf numFmtId="0" fontId="6" fillId="2" borderId="4" xfId="6" applyFont="1" applyFill="1" applyBorder="1" applyAlignment="1">
      <alignment horizontal="justify" vertical="center" wrapText="1"/>
    </xf>
    <xf numFmtId="0" fontId="12" fillId="0" borderId="4" xfId="6" applyFont="1" applyFill="1" applyBorder="1" applyAlignment="1">
      <alignment horizontal="center" vertical="center"/>
    </xf>
    <xf numFmtId="0" fontId="6" fillId="2" borderId="3" xfId="6" applyFont="1" applyFill="1" applyBorder="1" applyAlignment="1">
      <alignment horizontal="center" vertical="center" wrapText="1"/>
    </xf>
    <xf numFmtId="0" fontId="6" fillId="2" borderId="3" xfId="6" applyFont="1" applyFill="1" applyBorder="1" applyAlignment="1">
      <alignment vertical="center" wrapText="1"/>
    </xf>
    <xf numFmtId="177" fontId="5" fillId="2" borderId="1" xfId="6" applyNumberFormat="1" applyFont="1" applyFill="1" applyBorder="1" applyAlignment="1">
      <alignment horizontal="right" vertical="center" wrapText="1"/>
    </xf>
    <xf numFmtId="0" fontId="18" fillId="0" borderId="1" xfId="6" applyFont="1" applyBorder="1" applyAlignment="1">
      <alignment horizontal="center" vertical="center" wrapText="1"/>
    </xf>
    <xf numFmtId="0" fontId="21" fillId="0" borderId="1" xfId="6" applyFont="1" applyBorder="1" applyAlignment="1">
      <alignment horizontal="left" vertical="center" wrapText="1"/>
    </xf>
    <xf numFmtId="173" fontId="13" fillId="10" borderId="10" xfId="6" applyNumberFormat="1" applyFont="1" applyFill="1" applyBorder="1" applyAlignment="1">
      <alignment horizontal="right" vertical="center" wrapText="1"/>
    </xf>
    <xf numFmtId="172" fontId="6" fillId="2" borderId="10" xfId="5" applyNumberFormat="1" applyFont="1" applyFill="1" applyBorder="1" applyAlignment="1">
      <alignment horizontal="right" vertical="center" wrapText="1"/>
    </xf>
    <xf numFmtId="177" fontId="5" fillId="2" borderId="10" xfId="6" applyNumberFormat="1" applyFont="1" applyFill="1" applyBorder="1" applyAlignment="1">
      <alignment horizontal="right" vertical="center" wrapText="1"/>
    </xf>
    <xf numFmtId="172" fontId="6" fillId="2" borderId="8" xfId="5" applyNumberFormat="1" applyFont="1" applyFill="1" applyBorder="1" applyAlignment="1">
      <alignment horizontal="right" vertical="center" wrapText="1"/>
    </xf>
    <xf numFmtId="3" fontId="12" fillId="2" borderId="10" xfId="6" applyNumberFormat="1" applyFont="1" applyFill="1" applyBorder="1" applyAlignment="1">
      <alignment horizontal="right" vertical="center" wrapText="1"/>
    </xf>
    <xf numFmtId="177" fontId="12" fillId="0" borderId="1" xfId="6" applyNumberFormat="1" applyFont="1" applyBorder="1" applyAlignment="1">
      <alignment vertical="center" wrapText="1"/>
    </xf>
    <xf numFmtId="0" fontId="12" fillId="0" borderId="1" xfId="6" applyFont="1" applyBorder="1" applyAlignment="1">
      <alignment vertical="center" wrapText="1"/>
    </xf>
    <xf numFmtId="0" fontId="12" fillId="0" borderId="1" xfId="6" applyFont="1" applyBorder="1" applyAlignment="1">
      <alignment vertical="top" wrapText="1"/>
    </xf>
    <xf numFmtId="49" fontId="12" fillId="0" borderId="1" xfId="6" applyNumberFormat="1" applyFont="1" applyBorder="1" applyAlignment="1">
      <alignment vertical="center" wrapText="1"/>
    </xf>
    <xf numFmtId="0" fontId="6" fillId="0" borderId="5" xfId="6" applyFont="1" applyBorder="1" applyAlignment="1">
      <alignment horizontal="center" vertical="center" wrapText="1"/>
    </xf>
    <xf numFmtId="165" fontId="13" fillId="10" borderId="4" xfId="6" applyNumberFormat="1" applyFont="1" applyFill="1" applyBorder="1" applyAlignment="1">
      <alignment horizontal="right" vertical="center"/>
    </xf>
    <xf numFmtId="165" fontId="13" fillId="10" borderId="1" xfId="6" applyNumberFormat="1" applyFont="1" applyFill="1" applyBorder="1" applyAlignment="1">
      <alignment horizontal="left" vertical="center"/>
    </xf>
    <xf numFmtId="165" fontId="5" fillId="10" borderId="10" xfId="6" applyNumberFormat="1" applyFont="1" applyFill="1" applyBorder="1" applyAlignment="1">
      <alignment horizontal="right" vertical="center" wrapText="1"/>
    </xf>
    <xf numFmtId="165" fontId="5" fillId="10" borderId="1" xfId="6" applyNumberFormat="1" applyFont="1" applyFill="1" applyBorder="1" applyAlignment="1">
      <alignment horizontal="right" vertical="center" wrapText="1"/>
    </xf>
    <xf numFmtId="165" fontId="5" fillId="10" borderId="4" xfId="6" applyNumberFormat="1" applyFont="1" applyFill="1" applyBorder="1" applyAlignment="1">
      <alignment horizontal="right" vertical="center" wrapText="1"/>
    </xf>
    <xf numFmtId="173" fontId="12" fillId="0" borderId="4" xfId="6" applyNumberFormat="1" applyFont="1" applyFill="1" applyBorder="1" applyAlignment="1">
      <alignment horizontal="left" vertical="center"/>
    </xf>
    <xf numFmtId="165" fontId="12" fillId="0" borderId="1" xfId="6" applyNumberFormat="1" applyFont="1" applyFill="1" applyBorder="1" applyAlignment="1">
      <alignment horizontal="left" vertical="center" wrapText="1"/>
    </xf>
    <xf numFmtId="173" fontId="5" fillId="9" borderId="1" xfId="3" applyNumberFormat="1" applyFont="1" applyFill="1" applyBorder="1" applyAlignment="1">
      <alignment horizontal="right" vertical="center" wrapText="1"/>
    </xf>
    <xf numFmtId="165" fontId="6" fillId="10" borderId="10" xfId="6" applyNumberFormat="1" applyFont="1" applyFill="1" applyBorder="1" applyAlignment="1">
      <alignment horizontal="right" vertical="center" wrapText="1"/>
    </xf>
    <xf numFmtId="165" fontId="6" fillId="2" borderId="10" xfId="6" applyNumberFormat="1" applyFont="1" applyFill="1" applyBorder="1" applyAlignment="1">
      <alignment horizontal="right" vertical="center" wrapText="1"/>
    </xf>
    <xf numFmtId="177" fontId="5" fillId="2" borderId="7" xfId="6" applyNumberFormat="1" applyFont="1" applyFill="1" applyBorder="1" applyAlignment="1">
      <alignment horizontal="right" vertical="center" wrapText="1"/>
    </xf>
    <xf numFmtId="172" fontId="6" fillId="2" borderId="6" xfId="5" applyNumberFormat="1" applyFont="1" applyFill="1" applyBorder="1" applyAlignment="1">
      <alignment horizontal="right" vertical="center" wrapText="1"/>
    </xf>
    <xf numFmtId="165" fontId="21" fillId="2" borderId="3" xfId="6" applyNumberFormat="1" applyFont="1" applyFill="1" applyBorder="1" applyAlignment="1">
      <alignment horizontal="right" vertical="center" wrapText="1"/>
    </xf>
    <xf numFmtId="0" fontId="21" fillId="2" borderId="1" xfId="6" applyNumberFormat="1" applyFont="1" applyFill="1" applyBorder="1" applyAlignment="1">
      <alignment horizontal="justify" vertical="center" wrapText="1"/>
    </xf>
    <xf numFmtId="165" fontId="6" fillId="0" borderId="10" xfId="6" applyNumberFormat="1" applyFont="1" applyBorder="1" applyAlignment="1">
      <alignment horizontal="right" vertical="center" wrapText="1"/>
    </xf>
    <xf numFmtId="165" fontId="13" fillId="10" borderId="3" xfId="6" applyNumberFormat="1" applyFont="1" applyFill="1" applyBorder="1" applyAlignment="1">
      <alignment horizontal="right" vertical="center" wrapText="1"/>
    </xf>
    <xf numFmtId="172" fontId="5" fillId="2" borderId="7" xfId="5" applyNumberFormat="1" applyFont="1" applyFill="1" applyBorder="1" applyAlignment="1">
      <alignment horizontal="right" vertical="center" wrapText="1"/>
    </xf>
    <xf numFmtId="172" fontId="6" fillId="2" borderId="3" xfId="5" applyNumberFormat="1" applyFont="1" applyFill="1" applyBorder="1" applyAlignment="1">
      <alignment horizontal="right" vertical="center" wrapText="1"/>
    </xf>
    <xf numFmtId="172" fontId="12" fillId="2" borderId="3" xfId="5" applyNumberFormat="1" applyFont="1" applyFill="1" applyBorder="1" applyAlignment="1">
      <alignment horizontal="right" vertical="center" wrapText="1"/>
    </xf>
    <xf numFmtId="172" fontId="12" fillId="2" borderId="6" xfId="5" applyNumberFormat="1" applyFont="1" applyFill="1" applyBorder="1" applyAlignment="1">
      <alignment horizontal="right" vertical="center"/>
    </xf>
    <xf numFmtId="165" fontId="6" fillId="2" borderId="3" xfId="6" applyNumberFormat="1" applyFont="1" applyFill="1" applyBorder="1" applyAlignment="1">
      <alignment horizontal="right" vertical="center" wrapText="1"/>
    </xf>
    <xf numFmtId="16" fontId="12" fillId="0" borderId="1" xfId="6" applyNumberFormat="1" applyFont="1" applyBorder="1" applyAlignment="1">
      <alignment horizontal="center" vertical="center" wrapText="1"/>
    </xf>
    <xf numFmtId="0" fontId="6" fillId="0" borderId="1" xfId="6" applyNumberFormat="1" applyFont="1" applyBorder="1" applyAlignment="1">
      <alignment horizontal="justify" vertical="center" wrapText="1"/>
    </xf>
    <xf numFmtId="177" fontId="13" fillId="9" borderId="1" xfId="6" applyNumberFormat="1" applyFont="1" applyFill="1" applyBorder="1" applyAlignment="1">
      <alignment horizontal="right" vertical="center" wrapText="1"/>
    </xf>
    <xf numFmtId="177" fontId="5" fillId="2" borderId="4" xfId="6" applyNumberFormat="1" applyFont="1" applyFill="1" applyBorder="1" applyAlignment="1">
      <alignment horizontal="right" vertical="center" wrapText="1"/>
    </xf>
    <xf numFmtId="173" fontId="6" fillId="2" borderId="1" xfId="3" applyNumberFormat="1" applyFont="1" applyFill="1" applyBorder="1" applyAlignment="1">
      <alignment horizontal="center" vertical="center" wrapText="1"/>
    </xf>
    <xf numFmtId="0" fontId="12" fillId="2" borderId="1" xfId="6" applyFont="1" applyFill="1" applyBorder="1" applyAlignment="1">
      <alignment horizontal="center" vertical="center"/>
    </xf>
    <xf numFmtId="173" fontId="6" fillId="2" borderId="1" xfId="3" applyNumberFormat="1" applyFont="1" applyFill="1" applyBorder="1" applyAlignment="1">
      <alignment vertical="center" wrapText="1"/>
    </xf>
    <xf numFmtId="173" fontId="6" fillId="2" borderId="3" xfId="3" applyNumberFormat="1" applyFont="1" applyFill="1" applyBorder="1" applyAlignment="1">
      <alignment horizontal="center" vertical="center" wrapText="1"/>
    </xf>
    <xf numFmtId="173" fontId="6" fillId="2" borderId="3" xfId="3" applyNumberFormat="1" applyFont="1" applyFill="1" applyBorder="1" applyAlignment="1">
      <alignment vertical="center" wrapText="1"/>
    </xf>
    <xf numFmtId="177" fontId="12" fillId="2" borderId="8" xfId="6" applyNumberFormat="1" applyFont="1" applyFill="1" applyBorder="1" applyAlignment="1">
      <alignment horizontal="right" vertical="center"/>
    </xf>
    <xf numFmtId="177" fontId="6" fillId="2" borderId="1" xfId="6" applyNumberFormat="1" applyFont="1" applyFill="1" applyBorder="1" applyAlignment="1">
      <alignment horizontal="right" vertical="center" wrapText="1"/>
    </xf>
    <xf numFmtId="165" fontId="12" fillId="0" borderId="1" xfId="6" applyNumberFormat="1" applyFont="1" applyBorder="1" applyAlignment="1">
      <alignment horizontal="right" vertical="center" wrapText="1"/>
    </xf>
    <xf numFmtId="0" fontId="12" fillId="0" borderId="10" xfId="6" applyFont="1" applyFill="1" applyBorder="1" applyAlignment="1">
      <alignment horizontal="center" vertical="center" wrapText="1"/>
    </xf>
    <xf numFmtId="177" fontId="12" fillId="2" borderId="8" xfId="6" applyNumberFormat="1" applyFont="1" applyFill="1" applyBorder="1" applyAlignment="1">
      <alignment horizontal="left" vertical="center"/>
    </xf>
    <xf numFmtId="0" fontId="12" fillId="0" borderId="9" xfId="6" applyFont="1" applyFill="1" applyBorder="1" applyAlignment="1">
      <alignment horizontal="center" vertical="center" wrapText="1"/>
    </xf>
    <xf numFmtId="177" fontId="6" fillId="11" borderId="1" xfId="6" applyNumberFormat="1" applyFont="1" applyFill="1" applyBorder="1" applyAlignment="1">
      <alignment horizontal="left" vertical="center" wrapText="1"/>
    </xf>
    <xf numFmtId="177" fontId="6" fillId="11" borderId="5" xfId="6" applyNumberFormat="1" applyFont="1" applyFill="1" applyBorder="1" applyAlignment="1">
      <alignment horizontal="left" vertical="center" wrapText="1"/>
    </xf>
    <xf numFmtId="177" fontId="6" fillId="10" borderId="7" xfId="6" applyNumberFormat="1" applyFont="1" applyFill="1" applyBorder="1" applyAlignment="1">
      <alignment horizontal="center" vertical="center" wrapText="1"/>
    </xf>
    <xf numFmtId="177" fontId="6" fillId="10" borderId="3" xfId="6" applyNumberFormat="1" applyFont="1" applyFill="1" applyBorder="1" applyAlignment="1">
      <alignment horizontal="center" vertical="center" wrapText="1"/>
    </xf>
    <xf numFmtId="177" fontId="6" fillId="10" borderId="3" xfId="6" applyNumberFormat="1" applyFont="1" applyFill="1" applyBorder="1" applyAlignment="1">
      <alignment horizontal="left" vertical="center" wrapText="1"/>
    </xf>
    <xf numFmtId="3" fontId="6" fillId="10" borderId="3" xfId="6" applyNumberFormat="1" applyFont="1" applyFill="1" applyBorder="1" applyAlignment="1">
      <alignment horizontal="center" vertical="center" wrapText="1"/>
    </xf>
    <xf numFmtId="173" fontId="6" fillId="10" borderId="3" xfId="3" applyNumberFormat="1" applyFont="1" applyFill="1" applyBorder="1" applyAlignment="1">
      <alignment horizontal="center" vertical="center" wrapText="1"/>
    </xf>
    <xf numFmtId="173" fontId="6" fillId="0" borderId="0" xfId="3" applyNumberFormat="1" applyFont="1" applyFill="1" applyBorder="1" applyAlignment="1">
      <alignment vertical="center" wrapText="1"/>
    </xf>
    <xf numFmtId="173" fontId="5" fillId="0" borderId="0" xfId="3" applyNumberFormat="1" applyFont="1" applyFill="1" applyBorder="1" applyAlignment="1">
      <alignment horizontal="left" vertical="center" wrapText="1"/>
    </xf>
    <xf numFmtId="0" fontId="13" fillId="0" borderId="0" xfId="6" applyFont="1" applyBorder="1" applyAlignment="1">
      <alignment horizontal="left" vertical="center"/>
    </xf>
    <xf numFmtId="177" fontId="6" fillId="2" borderId="0" xfId="6" applyNumberFormat="1" applyFont="1" applyFill="1" applyBorder="1" applyAlignment="1">
      <alignment horizontal="left" vertical="center" wrapText="1"/>
    </xf>
    <xf numFmtId="0" fontId="13" fillId="6" borderId="0" xfId="6" applyFont="1" applyFill="1" applyBorder="1" applyAlignment="1">
      <alignment horizontal="left" vertical="center" wrapText="1"/>
    </xf>
    <xf numFmtId="167" fontId="6" fillId="0" borderId="0" xfId="4" applyFont="1" applyFill="1" applyBorder="1" applyAlignment="1">
      <alignment vertical="center" wrapText="1"/>
    </xf>
    <xf numFmtId="167" fontId="12" fillId="0" borderId="0" xfId="4" applyFont="1" applyBorder="1" applyAlignment="1">
      <alignment vertical="center"/>
    </xf>
    <xf numFmtId="167" fontId="13" fillId="0" borderId="0" xfId="4" applyFont="1" applyBorder="1" applyAlignment="1">
      <alignment vertical="center"/>
    </xf>
    <xf numFmtId="0" fontId="13" fillId="0" borderId="0" xfId="6" applyFont="1" applyBorder="1" applyAlignment="1">
      <alignment vertical="center"/>
    </xf>
    <xf numFmtId="173" fontId="5" fillId="0" borderId="0" xfId="3" applyNumberFormat="1" applyFont="1" applyFill="1" applyBorder="1" applyAlignment="1">
      <alignment vertical="center" wrapText="1"/>
    </xf>
    <xf numFmtId="167" fontId="5" fillId="0" borderId="0" xfId="4" applyFont="1" applyFill="1" applyBorder="1" applyAlignment="1">
      <alignment vertical="center" wrapText="1"/>
    </xf>
    <xf numFmtId="167" fontId="12" fillId="0" borderId="0" xfId="4" applyFont="1" applyFill="1" applyAlignment="1">
      <alignment horizontal="center" vertical="center"/>
    </xf>
    <xf numFmtId="0" fontId="13" fillId="6" borderId="0" xfId="6" applyFont="1" applyFill="1" applyBorder="1" applyAlignment="1">
      <alignment horizontal="center" vertical="center" wrapText="1"/>
    </xf>
    <xf numFmtId="0" fontId="27" fillId="0" borderId="0" xfId="0" applyFont="1" applyFill="1" applyBorder="1" applyAlignment="1">
      <alignment horizontal="center" vertical="center"/>
    </xf>
    <xf numFmtId="3" fontId="27" fillId="2" borderId="1" xfId="1205" applyNumberFormat="1" applyFont="1" applyFill="1" applyBorder="1" applyAlignment="1">
      <alignment horizontal="right" vertical="center" wrapText="1"/>
    </xf>
    <xf numFmtId="3" fontId="27" fillId="2" borderId="1" xfId="1153" applyNumberFormat="1" applyFont="1" applyFill="1" applyBorder="1" applyAlignment="1">
      <alignment horizontal="right" vertical="center" wrapText="1"/>
    </xf>
    <xf numFmtId="3" fontId="27" fillId="2" borderId="1" xfId="1158" applyNumberFormat="1" applyFont="1" applyFill="1" applyBorder="1" applyAlignment="1">
      <alignment horizontal="left" vertical="center" wrapText="1"/>
    </xf>
    <xf numFmtId="3" fontId="27" fillId="0" borderId="1" xfId="9" applyNumberFormat="1" applyFont="1" applyFill="1" applyBorder="1" applyAlignment="1">
      <alignment vertical="center"/>
    </xf>
    <xf numFmtId="0" fontId="25" fillId="2" borderId="3" xfId="0" applyFont="1" applyFill="1" applyBorder="1" applyAlignment="1">
      <alignment horizontal="left" vertical="center" wrapText="1"/>
    </xf>
    <xf numFmtId="17" fontId="27" fillId="0" borderId="3" xfId="1293" applyNumberFormat="1" applyFont="1" applyFill="1" applyBorder="1" applyAlignment="1">
      <alignment horizontal="center" vertical="center"/>
    </xf>
    <xf numFmtId="0" fontId="27" fillId="0" borderId="3" xfId="1293" applyFont="1" applyFill="1" applyBorder="1" applyAlignment="1">
      <alignment horizontal="center" vertical="center"/>
    </xf>
    <xf numFmtId="0" fontId="27" fillId="0" borderId="1" xfId="1293" applyFont="1" applyFill="1" applyBorder="1" applyAlignment="1">
      <alignment horizontal="center" vertical="center"/>
    </xf>
    <xf numFmtId="3" fontId="27" fillId="2" borderId="4" xfId="1153" applyNumberFormat="1" applyFont="1" applyFill="1" applyBorder="1" applyAlignment="1">
      <alignment horizontal="center" vertical="center" wrapText="1"/>
    </xf>
    <xf numFmtId="0" fontId="6" fillId="2" borderId="0" xfId="0" applyFont="1" applyFill="1" applyAlignment="1">
      <alignment vertical="center"/>
    </xf>
    <xf numFmtId="0" fontId="32" fillId="2" borderId="1" xfId="1308" applyFont="1" applyFill="1" applyBorder="1" applyAlignment="1">
      <alignment horizontal="center" vertical="center" wrapText="1"/>
    </xf>
    <xf numFmtId="0" fontId="6" fillId="2" borderId="1" xfId="0" applyFont="1" applyFill="1" applyBorder="1" applyAlignment="1">
      <alignment horizontal="justify" vertical="top" wrapText="1"/>
    </xf>
    <xf numFmtId="0" fontId="28" fillId="0" borderId="1" xfId="1308" applyFill="1" applyBorder="1" applyAlignment="1">
      <alignment horizontal="center" vertical="center" wrapText="1"/>
    </xf>
    <xf numFmtId="14" fontId="6" fillId="2" borderId="1" xfId="0" applyNumberFormat="1"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17" fontId="6"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xf>
    <xf numFmtId="172" fontId="6" fillId="0" borderId="1" xfId="0" applyNumberFormat="1" applyFont="1" applyFill="1" applyBorder="1" applyAlignment="1">
      <alignment horizontal="center" vertical="center" wrapText="1"/>
    </xf>
    <xf numFmtId="180" fontId="6" fillId="0" borderId="16" xfId="0" applyNumberFormat="1" applyFont="1" applyFill="1" applyBorder="1" applyAlignment="1">
      <alignment horizontal="center" vertical="center" wrapText="1"/>
    </xf>
    <xf numFmtId="182" fontId="6" fillId="0" borderId="1" xfId="0" applyNumberFormat="1" applyFont="1" applyFill="1" applyBorder="1" applyAlignment="1">
      <alignment horizontal="justify" vertical="top" wrapText="1"/>
    </xf>
    <xf numFmtId="0" fontId="6" fillId="2" borderId="1" xfId="0" applyNumberFormat="1" applyFont="1" applyFill="1" applyBorder="1" applyAlignment="1">
      <alignment horizontal="justify" vertical="top" wrapText="1"/>
    </xf>
    <xf numFmtId="183" fontId="6" fillId="2" borderId="1" xfId="0" applyNumberFormat="1" applyFont="1" applyFill="1" applyBorder="1" applyAlignment="1">
      <alignment horizontal="center" vertical="center" wrapText="1"/>
    </xf>
    <xf numFmtId="3" fontId="6" fillId="2" borderId="1" xfId="0" applyNumberFormat="1" applyFont="1" applyFill="1" applyBorder="1" applyAlignment="1">
      <alignment horizontal="justify" vertical="top" wrapText="1"/>
    </xf>
    <xf numFmtId="183" fontId="6" fillId="0" borderId="1" xfId="0" applyNumberFormat="1" applyFont="1" applyFill="1" applyBorder="1" applyAlignment="1">
      <alignment horizontal="center" vertical="center" wrapText="1"/>
    </xf>
    <xf numFmtId="0" fontId="6" fillId="2" borderId="16" xfId="0" applyFont="1" applyFill="1" applyBorder="1" applyAlignment="1">
      <alignment horizontal="center" vertical="center" wrapText="1"/>
    </xf>
    <xf numFmtId="181"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172" fontId="6"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 fontId="6" fillId="2" borderId="1" xfId="0" applyNumberFormat="1" applyFont="1" applyFill="1" applyBorder="1" applyAlignment="1">
      <alignment horizontal="center" vertical="center" wrapText="1"/>
    </xf>
    <xf numFmtId="180" fontId="6" fillId="2" borderId="1" xfId="0" applyNumberFormat="1" applyFont="1" applyFill="1" applyBorder="1" applyAlignment="1">
      <alignment horizontal="center" vertical="center" wrapText="1"/>
    </xf>
    <xf numFmtId="0" fontId="28" fillId="2" borderId="3" xfId="1308" applyFill="1" applyBorder="1" applyAlignment="1">
      <alignment vertical="center" wrapText="1"/>
    </xf>
    <xf numFmtId="0" fontId="33" fillId="0" borderId="0" xfId="0" applyFont="1"/>
    <xf numFmtId="0" fontId="32" fillId="0" borderId="1" xfId="1308" applyFont="1" applyFill="1" applyBorder="1" applyAlignment="1">
      <alignment horizontal="center" vertical="center" wrapText="1"/>
    </xf>
    <xf numFmtId="0" fontId="6" fillId="2" borderId="1" xfId="0" applyFont="1" applyFill="1" applyBorder="1" applyAlignment="1">
      <alignment horizontal="left" vertical="center" wrapText="1"/>
    </xf>
    <xf numFmtId="0" fontId="32" fillId="2" borderId="3" xfId="1308" applyFont="1" applyFill="1" applyBorder="1" applyAlignment="1">
      <alignment vertical="center" wrapText="1"/>
    </xf>
    <xf numFmtId="0" fontId="34" fillId="2" borderId="1" xfId="0" applyFont="1" applyFill="1" applyBorder="1" applyAlignment="1">
      <alignment horizontal="center" vertical="center" wrapText="1"/>
    </xf>
    <xf numFmtId="173" fontId="12" fillId="10" borderId="2" xfId="2" applyNumberFormat="1" applyFont="1" applyFill="1" applyBorder="1" applyAlignment="1">
      <alignment horizontal="center" vertical="center" wrapText="1"/>
    </xf>
    <xf numFmtId="173" fontId="6" fillId="10" borderId="7" xfId="2" applyNumberFormat="1" applyFont="1" applyFill="1" applyBorder="1" applyAlignment="1">
      <alignment horizontal="center" vertical="center" wrapText="1" readingOrder="1"/>
    </xf>
    <xf numFmtId="0" fontId="6" fillId="40" borderId="1" xfId="0" applyFont="1" applyFill="1" applyBorder="1" applyAlignment="1">
      <alignment horizontal="center" vertical="center" wrapText="1" readingOrder="1"/>
    </xf>
    <xf numFmtId="0" fontId="6" fillId="41" borderId="1" xfId="0" applyFont="1" applyFill="1" applyBorder="1" applyAlignment="1">
      <alignment horizontal="center" vertical="center" wrapText="1" readingOrder="1"/>
    </xf>
    <xf numFmtId="183" fontId="6" fillId="41" borderId="1" xfId="0" applyNumberFormat="1" applyFont="1" applyFill="1" applyBorder="1" applyAlignment="1">
      <alignment horizontal="center" vertical="center" wrapText="1"/>
    </xf>
    <xf numFmtId="0" fontId="6" fillId="41" borderId="5" xfId="0" applyFont="1" applyFill="1" applyBorder="1" applyAlignment="1">
      <alignment vertical="center" wrapText="1" readingOrder="1"/>
    </xf>
    <xf numFmtId="0" fontId="6" fillId="42" borderId="5" xfId="0" applyFont="1" applyFill="1" applyBorder="1" applyAlignment="1">
      <alignment vertical="center" wrapText="1"/>
    </xf>
    <xf numFmtId="0" fontId="6" fillId="42" borderId="1" xfId="0" applyFont="1" applyFill="1" applyBorder="1" applyAlignment="1">
      <alignment horizontal="center" vertical="center" wrapText="1"/>
    </xf>
    <xf numFmtId="183" fontId="6" fillId="42" borderId="1" xfId="0" applyNumberFormat="1" applyFont="1" applyFill="1" applyBorder="1" applyAlignment="1">
      <alignment horizontal="center" vertical="center"/>
    </xf>
    <xf numFmtId="0" fontId="6" fillId="2" borderId="1" xfId="57" applyFont="1" applyFill="1" applyBorder="1" applyAlignment="1">
      <alignment horizontal="left" vertical="top" wrapText="1"/>
    </xf>
    <xf numFmtId="180" fontId="31" fillId="0" borderId="1" xfId="0" applyNumberFormat="1" applyFont="1" applyFill="1" applyBorder="1" applyAlignment="1">
      <alignment horizontal="center" vertical="center" wrapText="1"/>
    </xf>
    <xf numFmtId="181" fontId="31" fillId="0"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1" fontId="29" fillId="2" borderId="1" xfId="0" applyNumberFormat="1" applyFont="1" applyFill="1" applyBorder="1" applyAlignment="1">
      <alignment horizontal="center" vertical="center" wrapText="1"/>
    </xf>
    <xf numFmtId="0" fontId="27" fillId="2" borderId="3" xfId="0" applyFont="1" applyFill="1" applyBorder="1" applyAlignment="1">
      <alignment horizontal="center" vertical="center" wrapText="1"/>
    </xf>
    <xf numFmtId="0" fontId="33" fillId="0" borderId="1" xfId="0" applyFont="1" applyBorder="1" applyAlignment="1">
      <alignment horizontal="center" vertical="center"/>
    </xf>
    <xf numFmtId="0" fontId="27" fillId="2" borderId="1" xfId="0" applyFont="1" applyFill="1" applyBorder="1" applyAlignment="1">
      <alignment horizontal="left" vertical="center" wrapText="1"/>
    </xf>
    <xf numFmtId="0" fontId="27" fillId="0" borderId="3" xfId="0" applyFont="1" applyFill="1" applyBorder="1" applyAlignment="1">
      <alignment horizontal="center" vertical="center" wrapText="1"/>
    </xf>
    <xf numFmtId="1" fontId="27" fillId="2" borderId="1" xfId="0" applyNumberFormat="1" applyFont="1" applyFill="1" applyBorder="1" applyAlignment="1">
      <alignment horizontal="center" vertical="center" wrapText="1"/>
    </xf>
    <xf numFmtId="0" fontId="27" fillId="0" borderId="1" xfId="0" applyFont="1" applyFill="1" applyBorder="1" applyAlignment="1">
      <alignment horizontal="left" vertical="center" wrapText="1"/>
    </xf>
    <xf numFmtId="0" fontId="35" fillId="0" borderId="1" xfId="1308" applyFont="1" applyFill="1" applyBorder="1" applyAlignment="1">
      <alignment horizontal="center" vertical="center" wrapText="1"/>
    </xf>
    <xf numFmtId="3" fontId="27" fillId="0" borderId="1" xfId="9" applyNumberFormat="1" applyFont="1" applyFill="1" applyBorder="1" applyAlignment="1">
      <alignment horizontal="center" vertical="center" wrapText="1"/>
    </xf>
    <xf numFmtId="3" fontId="27" fillId="0" borderId="1" xfId="0" applyNumberFormat="1" applyFont="1" applyFill="1" applyBorder="1" applyAlignment="1">
      <alignment horizontal="center" vertical="center" wrapText="1"/>
    </xf>
    <xf numFmtId="1" fontId="27" fillId="0" borderId="1" xfId="0" applyNumberFormat="1" applyFont="1" applyFill="1" applyBorder="1" applyAlignment="1">
      <alignment horizontal="right" vertical="center" wrapText="1"/>
    </xf>
    <xf numFmtId="1" fontId="27" fillId="0" borderId="1" xfId="0" applyNumberFormat="1" applyFont="1" applyFill="1" applyBorder="1" applyAlignment="1">
      <alignment horizontal="center" vertical="center" wrapText="1"/>
    </xf>
    <xf numFmtId="1" fontId="27" fillId="0" borderId="3" xfId="0" applyNumberFormat="1" applyFont="1" applyFill="1" applyBorder="1" applyAlignment="1">
      <alignment horizontal="right" vertical="center" wrapText="1"/>
    </xf>
    <xf numFmtId="3" fontId="27" fillId="0" borderId="1" xfId="5" applyNumberFormat="1" applyFont="1" applyFill="1" applyBorder="1" applyAlignment="1">
      <alignment horizontal="center" vertical="center" wrapText="1"/>
    </xf>
    <xf numFmtId="3" fontId="27" fillId="0" borderId="1" xfId="663" applyNumberFormat="1" applyFont="1" applyFill="1" applyBorder="1" applyAlignment="1">
      <alignment horizontal="center" vertical="center" wrapText="1"/>
    </xf>
    <xf numFmtId="0" fontId="27" fillId="0" borderId="1" xfId="0" applyFont="1" applyFill="1" applyBorder="1" applyAlignment="1"/>
    <xf numFmtId="0" fontId="27" fillId="0" borderId="0" xfId="0" applyFont="1" applyFill="1" applyAlignment="1"/>
    <xf numFmtId="0" fontId="35" fillId="0" borderId="3" xfId="1308" applyFont="1" applyFill="1" applyBorder="1" applyAlignment="1">
      <alignment horizontal="center" vertical="center" wrapText="1"/>
    </xf>
    <xf numFmtId="1" fontId="27" fillId="0" borderId="3" xfId="0" applyNumberFormat="1" applyFont="1" applyFill="1" applyBorder="1" applyAlignment="1">
      <alignment horizontal="center" vertical="center" wrapText="1"/>
    </xf>
    <xf numFmtId="44" fontId="27" fillId="0" borderId="1" xfId="0" applyNumberFormat="1" applyFont="1" applyFill="1" applyBorder="1" applyAlignment="1">
      <alignment horizontal="left" vertical="center" wrapText="1"/>
    </xf>
    <xf numFmtId="1" fontId="27" fillId="0" borderId="1" xfId="663" applyNumberFormat="1" applyFont="1" applyFill="1" applyBorder="1" applyAlignment="1">
      <alignment horizontal="right" vertical="center" wrapText="1"/>
    </xf>
    <xf numFmtId="179" fontId="27" fillId="0" borderId="1" xfId="9" applyNumberFormat="1" applyFont="1" applyFill="1" applyBorder="1" applyAlignment="1">
      <alignment horizontal="left" vertical="center" wrapText="1"/>
    </xf>
    <xf numFmtId="3" fontId="27" fillId="0" borderId="1" xfId="664" applyNumberFormat="1" applyFont="1" applyFill="1" applyBorder="1" applyAlignment="1">
      <alignment horizontal="center" vertical="center" wrapText="1"/>
    </xf>
    <xf numFmtId="173" fontId="6" fillId="10" borderId="3" xfId="2" applyNumberFormat="1" applyFont="1" applyFill="1" applyBorder="1" applyAlignment="1">
      <alignment horizontal="center" vertical="center" wrapText="1" readingOrder="1"/>
    </xf>
    <xf numFmtId="0" fontId="12" fillId="1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39" borderId="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7" fillId="0" borderId="0" xfId="0" applyFont="1" applyAlignment="1"/>
    <xf numFmtId="0" fontId="27" fillId="0" borderId="0" xfId="0" applyFont="1" applyAlignment="1">
      <alignment horizontal="center"/>
    </xf>
    <xf numFmtId="0" fontId="27" fillId="0" borderId="1" xfId="0" applyFont="1" applyBorder="1" applyAlignment="1"/>
    <xf numFmtId="3" fontId="27" fillId="0" borderId="1" xfId="0" applyNumberFormat="1" applyFont="1" applyBorder="1" applyAlignment="1"/>
    <xf numFmtId="0" fontId="27" fillId="18" borderId="0" xfId="0" applyFont="1" applyFill="1" applyBorder="1" applyAlignment="1">
      <alignment vertical="center"/>
    </xf>
    <xf numFmtId="169" fontId="27" fillId="18" borderId="0" xfId="0" applyNumberFormat="1" applyFont="1" applyFill="1" applyBorder="1" applyAlignment="1">
      <alignment vertical="center"/>
    </xf>
    <xf numFmtId="0" fontId="26" fillId="18" borderId="0" xfId="0" applyFont="1" applyFill="1" applyBorder="1" applyAlignment="1">
      <alignment horizontal="center" vertical="center"/>
    </xf>
    <xf numFmtId="0" fontId="27" fillId="18" borderId="0" xfId="0" applyFont="1" applyFill="1" applyBorder="1" applyAlignment="1">
      <alignment horizontal="center" vertical="center"/>
    </xf>
    <xf numFmtId="169" fontId="27" fillId="18" borderId="0" xfId="0" applyNumberFormat="1" applyFont="1" applyFill="1" applyBorder="1" applyAlignment="1">
      <alignment horizontal="justify" vertical="justify"/>
    </xf>
    <xf numFmtId="169" fontId="27" fillId="18" borderId="0" xfId="0" applyNumberFormat="1" applyFont="1" applyFill="1" applyBorder="1" applyAlignment="1">
      <alignment horizontal="center" vertical="center"/>
    </xf>
    <xf numFmtId="169" fontId="27" fillId="18" borderId="0" xfId="0" applyNumberFormat="1" applyFont="1" applyFill="1" applyBorder="1" applyAlignment="1">
      <alignment horizontal="center" vertical="center" wrapText="1"/>
    </xf>
    <xf numFmtId="0" fontId="27" fillId="18" borderId="16" xfId="0" applyFont="1" applyFill="1" applyBorder="1" applyAlignment="1">
      <alignment horizontal="center" vertical="center"/>
    </xf>
    <xf numFmtId="3" fontId="27" fillId="2" borderId="1" xfId="0" applyNumberFormat="1" applyFont="1" applyFill="1" applyBorder="1" applyAlignment="1">
      <alignment horizontal="center" vertical="center" wrapText="1"/>
    </xf>
    <xf numFmtId="0" fontId="27" fillId="36" borderId="0" xfId="0" applyFont="1" applyFill="1" applyAlignment="1"/>
    <xf numFmtId="3" fontId="26" fillId="26" borderId="1" xfId="0" applyNumberFormat="1" applyFont="1" applyFill="1" applyBorder="1" applyAlignment="1">
      <alignment horizontal="right" vertical="center" wrapText="1"/>
    </xf>
    <xf numFmtId="0" fontId="27" fillId="2" borderId="3" xfId="0" applyFont="1" applyFill="1" applyBorder="1" applyAlignment="1">
      <alignment horizontal="left" vertical="center" wrapText="1"/>
    </xf>
    <xf numFmtId="17" fontId="27" fillId="2" borderId="3" xfId="1293" applyNumberFormat="1" applyFont="1" applyFill="1" applyBorder="1" applyAlignment="1">
      <alignment horizontal="center" vertical="center"/>
    </xf>
    <xf numFmtId="0" fontId="27" fillId="2" borderId="1" xfId="1293" applyFont="1" applyFill="1" applyBorder="1" applyAlignment="1">
      <alignment horizontal="center" vertical="center"/>
    </xf>
    <xf numFmtId="179" fontId="27" fillId="0" borderId="1" xfId="0" applyNumberFormat="1" applyFont="1" applyBorder="1" applyAlignment="1"/>
    <xf numFmtId="3" fontId="26" fillId="32" borderId="1" xfId="0" applyNumberFormat="1" applyFont="1" applyFill="1" applyBorder="1" applyAlignment="1">
      <alignment vertical="center"/>
    </xf>
    <xf numFmtId="3" fontId="26" fillId="33" borderId="1" xfId="0" applyNumberFormat="1" applyFont="1" applyFill="1" applyBorder="1" applyAlignment="1">
      <alignment vertical="center"/>
    </xf>
    <xf numFmtId="0" fontId="27" fillId="0" borderId="0" xfId="0" applyFont="1" applyAlignment="1">
      <alignment horizontal="justify" vertical="justify"/>
    </xf>
    <xf numFmtId="0" fontId="27" fillId="0" borderId="0" xfId="0" applyFont="1" applyAlignment="1">
      <alignment wrapText="1"/>
    </xf>
    <xf numFmtId="173" fontId="27" fillId="10" borderId="2" xfId="2" applyNumberFormat="1" applyFont="1" applyFill="1" applyBorder="1" applyAlignment="1">
      <alignment horizontal="center" vertical="center" wrapText="1"/>
    </xf>
    <xf numFmtId="0" fontId="26" fillId="20" borderId="5" xfId="0" applyFont="1" applyFill="1" applyBorder="1" applyAlignment="1">
      <alignment horizontal="center" vertical="center" wrapText="1"/>
    </xf>
    <xf numFmtId="169" fontId="27" fillId="0" borderId="1" xfId="0" applyNumberFormat="1" applyFont="1" applyFill="1" applyBorder="1" applyAlignment="1">
      <alignment horizontal="center" vertical="center" wrapText="1"/>
    </xf>
    <xf numFmtId="173" fontId="27" fillId="10" borderId="7" xfId="2" applyNumberFormat="1" applyFont="1" applyFill="1" applyBorder="1" applyAlignment="1">
      <alignment horizontal="center" vertical="center" wrapText="1" readingOrder="1"/>
    </xf>
    <xf numFmtId="0" fontId="35" fillId="2" borderId="3" xfId="1308" applyFont="1" applyFill="1" applyBorder="1" applyAlignment="1">
      <alignment horizontal="left" vertical="center" wrapText="1"/>
    </xf>
    <xf numFmtId="0" fontId="27" fillId="2" borderId="3" xfId="0" applyFont="1" applyFill="1" applyBorder="1" applyAlignment="1">
      <alignment horizontal="left" wrapText="1"/>
    </xf>
    <xf numFmtId="179" fontId="27" fillId="18" borderId="0" xfId="9" applyNumberFormat="1" applyFont="1" applyFill="1" applyBorder="1" applyAlignment="1">
      <alignment vertical="center" wrapText="1"/>
    </xf>
    <xf numFmtId="179" fontId="27" fillId="0" borderId="1" xfId="9" applyNumberFormat="1" applyFont="1" applyFill="1" applyBorder="1" applyAlignment="1">
      <alignment vertical="center" wrapText="1"/>
    </xf>
    <xf numFmtId="179" fontId="26" fillId="21" borderId="23" xfId="9" applyNumberFormat="1" applyFont="1" applyFill="1" applyBorder="1" applyAlignment="1" applyProtection="1">
      <alignment horizontal="right" vertical="center" wrapText="1"/>
    </xf>
    <xf numFmtId="179" fontId="26" fillId="22" borderId="24" xfId="9" applyNumberFormat="1" applyFont="1" applyFill="1" applyBorder="1" applyAlignment="1">
      <alignment vertical="center" wrapText="1"/>
    </xf>
    <xf numFmtId="179" fontId="26" fillId="20" borderId="23" xfId="9" applyNumberFormat="1" applyFont="1" applyFill="1" applyBorder="1" applyAlignment="1">
      <alignment horizontal="right" vertical="center"/>
    </xf>
    <xf numFmtId="179" fontId="27" fillId="0" borderId="1" xfId="9" applyNumberFormat="1" applyFont="1" applyFill="1" applyBorder="1" applyAlignment="1">
      <alignment horizontal="right" vertical="center"/>
    </xf>
    <xf numFmtId="179" fontId="26" fillId="20" borderId="25" xfId="9" applyNumberFormat="1" applyFont="1" applyFill="1" applyBorder="1" applyAlignment="1">
      <alignment horizontal="right" vertical="center"/>
    </xf>
    <xf numFmtId="179" fontId="26" fillId="25" borderId="23" xfId="9" applyNumberFormat="1" applyFont="1" applyFill="1" applyBorder="1" applyAlignment="1">
      <alignment horizontal="right" vertical="center"/>
    </xf>
    <xf numFmtId="179" fontId="26" fillId="20" borderId="1" xfId="9" applyNumberFormat="1" applyFont="1" applyFill="1" applyBorder="1" applyAlignment="1">
      <alignment horizontal="right" vertical="center"/>
    </xf>
    <xf numFmtId="179" fontId="26" fillId="27" borderId="1" xfId="9" applyNumberFormat="1" applyFont="1" applyFill="1" applyBorder="1" applyAlignment="1">
      <alignment horizontal="right" vertical="center" wrapText="1"/>
    </xf>
    <xf numFmtId="179" fontId="26" fillId="28" borderId="1" xfId="9" applyNumberFormat="1" applyFont="1" applyFill="1" applyBorder="1" applyAlignment="1">
      <alignment horizontal="right" vertical="center"/>
    </xf>
    <xf numFmtId="179" fontId="26" fillId="20" borderId="1" xfId="9" applyNumberFormat="1" applyFont="1" applyFill="1" applyBorder="1" applyAlignment="1">
      <alignment horizontal="right" vertical="center" wrapText="1"/>
    </xf>
    <xf numFmtId="179" fontId="26" fillId="26" borderId="1" xfId="9" applyNumberFormat="1" applyFont="1" applyFill="1" applyBorder="1" applyAlignment="1">
      <alignment horizontal="right" vertical="center" wrapText="1"/>
    </xf>
    <xf numFmtId="179" fontId="26" fillId="35" borderId="1" xfId="9" applyNumberFormat="1" applyFont="1" applyFill="1" applyBorder="1" applyAlignment="1">
      <alignment horizontal="right" vertical="center" wrapText="1"/>
    </xf>
    <xf numFmtId="179" fontId="27" fillId="10" borderId="3" xfId="9" applyNumberFormat="1" applyFont="1" applyFill="1" applyBorder="1" applyAlignment="1">
      <alignment vertical="center" wrapText="1"/>
    </xf>
    <xf numFmtId="179" fontId="27" fillId="2" borderId="1" xfId="9" applyNumberFormat="1" applyFont="1" applyFill="1" applyBorder="1" applyAlignment="1">
      <alignment horizontal="right" vertical="center" wrapText="1"/>
    </xf>
    <xf numFmtId="179" fontId="27" fillId="2" borderId="1" xfId="9" applyNumberFormat="1" applyFont="1" applyFill="1" applyBorder="1" applyAlignment="1">
      <alignment vertical="center"/>
    </xf>
    <xf numFmtId="179" fontId="26" fillId="20" borderId="1" xfId="9" applyNumberFormat="1" applyFont="1" applyFill="1" applyBorder="1" applyAlignment="1">
      <alignment vertical="center" wrapText="1"/>
    </xf>
    <xf numFmtId="179" fontId="26" fillId="32" borderId="1" xfId="9" applyNumberFormat="1" applyFont="1" applyFill="1" applyBorder="1" applyAlignment="1">
      <alignment vertical="center"/>
    </xf>
    <xf numFmtId="179" fontId="26" fillId="33" borderId="1" xfId="9" applyNumberFormat="1" applyFont="1" applyFill="1" applyBorder="1" applyAlignment="1">
      <alignment vertical="center"/>
    </xf>
    <xf numFmtId="179" fontId="27" fillId="0" borderId="0" xfId="9" applyNumberFormat="1" applyFont="1" applyAlignment="1"/>
    <xf numFmtId="179" fontId="27" fillId="18" borderId="0" xfId="9" applyNumberFormat="1" applyFont="1" applyFill="1" applyBorder="1" applyAlignment="1">
      <alignment vertical="center"/>
    </xf>
    <xf numFmtId="179" fontId="27" fillId="29" borderId="19" xfId="9" applyNumberFormat="1" applyFont="1" applyFill="1" applyBorder="1" applyAlignment="1">
      <alignment vertical="center"/>
    </xf>
    <xf numFmtId="179" fontId="26" fillId="21" borderId="1" xfId="9" applyNumberFormat="1" applyFont="1" applyFill="1" applyBorder="1" applyAlignment="1" applyProtection="1">
      <alignment horizontal="right" vertical="center" wrapText="1"/>
    </xf>
    <xf numFmtId="179" fontId="26" fillId="22" borderId="1" xfId="9" applyNumberFormat="1" applyFont="1" applyFill="1" applyBorder="1" applyAlignment="1">
      <alignment vertical="center" wrapText="1"/>
    </xf>
    <xf numFmtId="179" fontId="27" fillId="2" borderId="1" xfId="9" applyNumberFormat="1" applyFont="1" applyFill="1" applyBorder="1" applyAlignment="1">
      <alignment horizontal="left" vertical="center" wrapText="1"/>
    </xf>
    <xf numFmtId="179" fontId="27" fillId="29" borderId="22" xfId="9" applyNumberFormat="1" applyFont="1" applyFill="1" applyBorder="1" applyAlignment="1">
      <alignment vertical="center"/>
    </xf>
    <xf numFmtId="179" fontId="27" fillId="18" borderId="20" xfId="9" applyNumberFormat="1" applyFont="1" applyFill="1" applyBorder="1" applyAlignment="1">
      <alignment vertical="center"/>
    </xf>
    <xf numFmtId="179" fontId="26" fillId="18" borderId="20" xfId="9" applyNumberFormat="1" applyFont="1" applyFill="1" applyBorder="1" applyAlignment="1">
      <alignment vertical="center"/>
    </xf>
    <xf numFmtId="179" fontId="26" fillId="18" borderId="20" xfId="9" applyNumberFormat="1" applyFont="1" applyFill="1" applyBorder="1" applyAlignment="1">
      <alignment horizontal="center" vertical="center"/>
    </xf>
    <xf numFmtId="179" fontId="27" fillId="18" borderId="21" xfId="9" applyNumberFormat="1" applyFont="1" applyFill="1" applyBorder="1" applyAlignment="1">
      <alignment vertical="center"/>
    </xf>
    <xf numFmtId="179" fontId="27" fillId="18" borderId="8" xfId="9" applyNumberFormat="1" applyFont="1" applyFill="1" applyBorder="1" applyAlignment="1">
      <alignment vertical="center"/>
    </xf>
    <xf numFmtId="179" fontId="27" fillId="0" borderId="3" xfId="9" applyNumberFormat="1" applyFont="1" applyFill="1" applyBorder="1" applyAlignment="1">
      <alignment horizontal="right" vertical="center"/>
    </xf>
    <xf numFmtId="179" fontId="27" fillId="10" borderId="3" xfId="9" applyNumberFormat="1" applyFont="1" applyFill="1" applyBorder="1" applyAlignment="1">
      <alignment vertical="center"/>
    </xf>
    <xf numFmtId="179" fontId="8" fillId="10" borderId="3" xfId="9" applyNumberFormat="1" applyFont="1" applyFill="1" applyBorder="1" applyAlignment="1">
      <alignment vertical="center" wrapText="1"/>
    </xf>
    <xf numFmtId="179" fontId="6" fillId="10" borderId="3" xfId="9" applyNumberFormat="1" applyFont="1" applyFill="1" applyBorder="1" applyAlignment="1">
      <alignment vertical="center" wrapText="1"/>
    </xf>
    <xf numFmtId="179" fontId="12" fillId="10" borderId="3" xfId="9" applyNumberFormat="1" applyFont="1" applyFill="1" applyBorder="1" applyAlignment="1">
      <alignment vertical="center"/>
    </xf>
    <xf numFmtId="179" fontId="6" fillId="2" borderId="1" xfId="9" applyNumberFormat="1" applyFont="1" applyFill="1" applyBorder="1" applyAlignment="1">
      <alignment horizontal="left" vertical="center" wrapText="1"/>
    </xf>
    <xf numFmtId="179" fontId="6" fillId="10" borderId="1" xfId="9" applyNumberFormat="1" applyFont="1" applyFill="1" applyBorder="1" applyAlignment="1">
      <alignment horizontal="left" vertical="center"/>
    </xf>
    <xf numFmtId="179" fontId="6" fillId="2" borderId="1" xfId="9" applyNumberFormat="1" applyFont="1" applyFill="1" applyBorder="1" applyAlignment="1">
      <alignment horizontal="center" vertical="center" wrapText="1"/>
    </xf>
    <xf numFmtId="179" fontId="12" fillId="10" borderId="1" xfId="9" applyNumberFormat="1" applyFont="1" applyFill="1" applyBorder="1" applyAlignment="1">
      <alignment horizontal="left" vertical="center"/>
    </xf>
    <xf numFmtId="179" fontId="6" fillId="41" borderId="1" xfId="9" applyNumberFormat="1" applyFont="1" applyFill="1" applyBorder="1" applyAlignment="1">
      <alignment horizontal="center" vertical="center" wrapText="1"/>
    </xf>
    <xf numFmtId="179" fontId="12" fillId="2" borderId="1" xfId="9" applyNumberFormat="1" applyFont="1" applyFill="1" applyBorder="1" applyAlignment="1">
      <alignment horizontal="left" vertical="center"/>
    </xf>
    <xf numFmtId="179" fontId="6" fillId="2" borderId="1" xfId="9" applyNumberFormat="1" applyFont="1" applyFill="1" applyBorder="1" applyAlignment="1">
      <alignment horizontal="center" vertical="center"/>
    </xf>
    <xf numFmtId="179" fontId="6" fillId="0" borderId="1" xfId="9" applyNumberFormat="1" applyFont="1" applyFill="1" applyBorder="1" applyAlignment="1">
      <alignment horizontal="center" vertical="center" wrapText="1"/>
    </xf>
    <xf numFmtId="179" fontId="12" fillId="41" borderId="1" xfId="9" applyNumberFormat="1" applyFont="1" applyFill="1" applyBorder="1" applyAlignment="1">
      <alignment horizontal="left" vertical="center"/>
    </xf>
    <xf numFmtId="179" fontId="6" fillId="42" borderId="1" xfId="9" applyNumberFormat="1" applyFont="1" applyFill="1" applyBorder="1" applyAlignment="1">
      <alignment horizontal="center" vertical="center"/>
    </xf>
    <xf numFmtId="179" fontId="6" fillId="39" borderId="1" xfId="9" applyNumberFormat="1" applyFont="1" applyFill="1" applyBorder="1" applyAlignment="1">
      <alignment horizontal="left" vertical="center"/>
    </xf>
    <xf numFmtId="179" fontId="33" fillId="0" borderId="0" xfId="9" applyNumberFormat="1" applyFont="1"/>
    <xf numFmtId="0" fontId="26" fillId="24" borderId="1" xfId="0" applyFont="1" applyFill="1" applyBorder="1" applyAlignment="1">
      <alignment horizontal="center" vertical="center" wrapText="1"/>
    </xf>
    <xf numFmtId="0" fontId="26" fillId="27" borderId="1"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6" fillId="28" borderId="1" xfId="0" applyFont="1" applyFill="1" applyBorder="1" applyAlignment="1">
      <alignment horizontal="center" vertical="center"/>
    </xf>
    <xf numFmtId="0" fontId="26" fillId="20" borderId="1" xfId="0" applyFont="1" applyFill="1" applyBorder="1" applyAlignment="1">
      <alignment horizontal="center" vertical="center" wrapText="1"/>
    </xf>
    <xf numFmtId="0" fontId="26" fillId="34" borderId="1" xfId="0" applyFont="1" applyFill="1" applyBorder="1" applyAlignment="1">
      <alignment horizontal="center" vertical="center"/>
    </xf>
    <xf numFmtId="173" fontId="27" fillId="10" borderId="3" xfId="2" applyNumberFormat="1" applyFont="1" applyFill="1" applyBorder="1" applyAlignment="1">
      <alignment horizontal="center" vertical="center" wrapText="1" readingOrder="1"/>
    </xf>
    <xf numFmtId="0" fontId="27" fillId="2" borderId="1" xfId="0" applyFont="1" applyFill="1" applyBorder="1" applyAlignment="1">
      <alignment horizontal="center" vertical="center" wrapText="1"/>
    </xf>
    <xf numFmtId="0" fontId="27" fillId="18" borderId="1" xfId="0" applyFont="1" applyFill="1" applyBorder="1" applyAlignment="1">
      <alignment horizontal="left" vertical="center"/>
    </xf>
    <xf numFmtId="0" fontId="27" fillId="18" borderId="4" xfId="0" applyFont="1" applyFill="1" applyBorder="1" applyAlignment="1">
      <alignment horizontal="left" vertical="center"/>
    </xf>
    <xf numFmtId="0" fontId="27" fillId="18" borderId="5" xfId="0" applyFont="1" applyFill="1" applyBorder="1" applyAlignment="1">
      <alignment horizontal="left" vertical="center"/>
    </xf>
    <xf numFmtId="0" fontId="26" fillId="18" borderId="16" xfId="0" applyFont="1" applyFill="1" applyBorder="1" applyAlignment="1">
      <alignment horizontal="left" vertical="center"/>
    </xf>
    <xf numFmtId="0" fontId="6" fillId="2" borderId="1" xfId="0" applyFont="1" applyFill="1" applyBorder="1" applyAlignment="1">
      <alignment horizontal="center" vertical="center" wrapText="1"/>
    </xf>
    <xf numFmtId="0" fontId="12" fillId="0" borderId="4" xfId="0" applyFont="1" applyFill="1" applyBorder="1" applyAlignment="1">
      <alignment horizontal="left" vertical="center"/>
    </xf>
    <xf numFmtId="0" fontId="6" fillId="19" borderId="1" xfId="0" applyFont="1" applyFill="1" applyBorder="1" applyAlignment="1">
      <alignment horizontal="center" vertical="center" wrapText="1"/>
    </xf>
    <xf numFmtId="0" fontId="8" fillId="19" borderId="1" xfId="0" applyFont="1" applyFill="1" applyBorder="1" applyAlignment="1">
      <alignment horizontal="center" vertical="center" wrapText="1"/>
    </xf>
    <xf numFmtId="0" fontId="27" fillId="18" borderId="1" xfId="0" applyFont="1" applyFill="1" applyBorder="1" applyAlignment="1">
      <alignment horizontal="center" vertical="center" wrapText="1"/>
    </xf>
    <xf numFmtId="179" fontId="33" fillId="0" borderId="0" xfId="0" applyNumberFormat="1" applyFont="1"/>
    <xf numFmtId="0" fontId="6" fillId="24" borderId="1" xfId="0" applyFont="1" applyFill="1" applyBorder="1" applyAlignment="1">
      <alignment horizontal="center" vertical="center" wrapText="1"/>
    </xf>
    <xf numFmtId="169" fontId="27" fillId="0" borderId="0" xfId="0" applyNumberFormat="1" applyFont="1" applyFill="1" applyBorder="1" applyAlignment="1">
      <alignment horizontal="center" vertical="center"/>
    </xf>
    <xf numFmtId="169" fontId="27" fillId="0" borderId="0" xfId="0" applyNumberFormat="1" applyFont="1" applyFill="1" applyBorder="1" applyAlignment="1">
      <alignment horizontal="justify" vertical="justify"/>
    </xf>
    <xf numFmtId="0" fontId="26" fillId="20" borderId="1" xfId="0" applyFont="1" applyFill="1" applyBorder="1" applyAlignment="1">
      <alignment horizontal="center" vertical="center" wrapText="1"/>
    </xf>
    <xf numFmtId="0" fontId="27" fillId="18" borderId="15" xfId="0" applyFont="1" applyFill="1" applyBorder="1" applyAlignment="1">
      <alignment horizontal="center" vertical="center" textRotation="90" wrapText="1"/>
    </xf>
    <xf numFmtId="0" fontId="33" fillId="2"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6" fillId="20" borderId="1"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19" borderId="1" xfId="0" applyFont="1" applyFill="1" applyBorder="1" applyAlignment="1">
      <alignment horizontal="center" vertical="center" wrapText="1"/>
    </xf>
    <xf numFmtId="0" fontId="27" fillId="23" borderId="1" xfId="0" applyFont="1" applyFill="1" applyBorder="1" applyAlignment="1">
      <alignment horizontal="center" vertical="center" wrapText="1"/>
    </xf>
    <xf numFmtId="0" fontId="27" fillId="23"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2" borderId="1" xfId="0" applyFont="1" applyFill="1" applyBorder="1" applyAlignment="1">
      <alignment horizontal="justify" vertical="justify" wrapText="1"/>
    </xf>
    <xf numFmtId="0" fontId="26" fillId="20" borderId="3" xfId="0" applyFont="1" applyFill="1" applyBorder="1" applyAlignment="1">
      <alignment horizontal="center" vertical="center" wrapText="1"/>
    </xf>
    <xf numFmtId="0" fontId="27" fillId="19"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19" borderId="9" xfId="0" applyFont="1" applyFill="1" applyBorder="1" applyAlignment="1">
      <alignment vertical="center" textRotation="90" wrapText="1"/>
    </xf>
    <xf numFmtId="179" fontId="26" fillId="27" borderId="5" xfId="9" applyNumberFormat="1" applyFont="1" applyFill="1" applyBorder="1" applyAlignment="1">
      <alignment horizontal="right" vertical="center" wrapText="1"/>
    </xf>
    <xf numFmtId="0" fontId="27" fillId="2" borderId="1" xfId="0" applyNumberFormat="1" applyFont="1" applyFill="1" applyBorder="1" applyAlignment="1">
      <alignment horizontal="justify" vertical="justify" wrapText="1"/>
    </xf>
    <xf numFmtId="0" fontId="35" fillId="2" borderId="1" xfId="1308" applyFont="1" applyFill="1" applyBorder="1" applyAlignment="1">
      <alignment horizontal="center" vertical="center" wrapText="1"/>
    </xf>
    <xf numFmtId="0" fontId="6" fillId="2" borderId="1" xfId="0" applyFont="1" applyFill="1" applyBorder="1" applyAlignment="1">
      <alignment horizontal="center"/>
    </xf>
    <xf numFmtId="0" fontId="12" fillId="10" borderId="16" xfId="0" applyFont="1" applyFill="1" applyBorder="1" applyAlignment="1">
      <alignment vertical="center" wrapText="1"/>
    </xf>
    <xf numFmtId="0" fontId="12" fillId="10" borderId="5" xfId="0" applyFont="1" applyFill="1" applyBorder="1" applyAlignment="1">
      <alignment vertical="center" wrapText="1"/>
    </xf>
    <xf numFmtId="0" fontId="5" fillId="9" borderId="1" xfId="0" applyFont="1" applyFill="1" applyBorder="1" applyAlignment="1">
      <alignment horizontal="center" vertical="center" wrapText="1"/>
    </xf>
    <xf numFmtId="179" fontId="5" fillId="9" borderId="1" xfId="9" applyNumberFormat="1" applyFont="1" applyFill="1" applyBorder="1" applyAlignment="1">
      <alignment horizontal="left" vertical="center"/>
    </xf>
    <xf numFmtId="0" fontId="27" fillId="2" borderId="3" xfId="0" applyFont="1" applyFill="1" applyBorder="1" applyAlignment="1">
      <alignment horizontal="center" vertical="center" wrapText="1"/>
    </xf>
    <xf numFmtId="179" fontId="27" fillId="0" borderId="0" xfId="0" applyNumberFormat="1" applyFont="1" applyAlignment="1"/>
    <xf numFmtId="0" fontId="35" fillId="2" borderId="3" xfId="1308" applyFont="1" applyFill="1" applyBorder="1" applyAlignment="1">
      <alignment horizontal="center" vertical="center" wrapText="1"/>
    </xf>
    <xf numFmtId="1" fontId="27" fillId="2" borderId="3" xfId="0" applyNumberFormat="1" applyFont="1" applyFill="1" applyBorder="1" applyAlignment="1">
      <alignment horizontal="right" vertical="center" wrapText="1"/>
    </xf>
    <xf numFmtId="1" fontId="27" fillId="2" borderId="3" xfId="0" applyNumberFormat="1" applyFont="1" applyFill="1" applyBorder="1" applyAlignment="1">
      <alignment horizontal="center" vertical="center" wrapText="1"/>
    </xf>
    <xf numFmtId="179" fontId="27" fillId="2" borderId="1" xfId="9" applyNumberFormat="1" applyFont="1" applyFill="1" applyBorder="1" applyAlignment="1">
      <alignment horizontal="right" vertical="center"/>
    </xf>
    <xf numFmtId="179" fontId="27" fillId="2" borderId="1" xfId="9" applyNumberFormat="1" applyFont="1" applyFill="1" applyBorder="1" applyAlignment="1">
      <alignment vertical="center" wrapText="1"/>
    </xf>
    <xf numFmtId="179" fontId="27" fillId="2" borderId="3" xfId="9" applyNumberFormat="1" applyFont="1" applyFill="1" applyBorder="1" applyAlignment="1">
      <alignment horizontal="right" vertical="center"/>
    </xf>
    <xf numFmtId="3" fontId="27" fillId="2" borderId="1" xfId="5" applyNumberFormat="1" applyFont="1" applyFill="1" applyBorder="1" applyAlignment="1">
      <alignment horizontal="center" vertical="center" wrapText="1"/>
    </xf>
    <xf numFmtId="3" fontId="27" fillId="2" borderId="1" xfId="663" applyNumberFormat="1" applyFont="1" applyFill="1" applyBorder="1" applyAlignment="1">
      <alignment horizontal="center" vertical="center" wrapText="1"/>
    </xf>
    <xf numFmtId="1" fontId="27" fillId="2" borderId="1" xfId="663" applyNumberFormat="1" applyFont="1" applyFill="1" applyBorder="1" applyAlignment="1">
      <alignment horizontal="right" vertical="center" wrapText="1"/>
    </xf>
    <xf numFmtId="44" fontId="27" fillId="2" borderId="1" xfId="0" applyNumberFormat="1" applyFont="1" applyFill="1" applyBorder="1" applyAlignment="1">
      <alignment horizontal="left" vertical="center" wrapText="1"/>
    </xf>
    <xf numFmtId="179" fontId="27" fillId="2" borderId="1" xfId="664" applyNumberFormat="1" applyFont="1" applyFill="1" applyBorder="1" applyAlignment="1">
      <alignment horizontal="center" vertical="center" wrapText="1"/>
    </xf>
    <xf numFmtId="179" fontId="26" fillId="21" borderId="24" xfId="9" applyNumberFormat="1" applyFont="1" applyFill="1" applyBorder="1" applyAlignment="1" applyProtection="1">
      <alignment horizontal="right" vertical="center" wrapText="1"/>
    </xf>
    <xf numFmtId="179" fontId="26" fillId="21" borderId="10" xfId="9" applyNumberFormat="1" applyFont="1" applyFill="1" applyBorder="1" applyAlignment="1" applyProtection="1">
      <alignment horizontal="right" vertical="center" wrapText="1"/>
    </xf>
    <xf numFmtId="177" fontId="40" fillId="11" borderId="6" xfId="0" applyNumberFormat="1" applyFont="1" applyFill="1" applyBorder="1" applyAlignment="1">
      <alignment horizontal="center" vertical="center" wrapText="1"/>
    </xf>
    <xf numFmtId="177" fontId="40" fillId="11" borderId="3" xfId="0" applyNumberFormat="1" applyFont="1" applyFill="1" applyBorder="1" applyAlignment="1">
      <alignment horizontal="center" vertical="center" wrapText="1"/>
    </xf>
    <xf numFmtId="179" fontId="5" fillId="10" borderId="1" xfId="9" applyNumberFormat="1" applyFont="1" applyFill="1" applyBorder="1" applyAlignment="1">
      <alignment horizontal="left" vertical="center"/>
    </xf>
    <xf numFmtId="14" fontId="33" fillId="0" borderId="1" xfId="0" applyNumberFormat="1" applyFont="1" applyBorder="1"/>
    <xf numFmtId="180" fontId="6" fillId="2" borderId="1" xfId="9" applyNumberFormat="1" applyFont="1" applyFill="1" applyBorder="1" applyAlignment="1">
      <alignment horizontal="left" vertical="center" wrapText="1"/>
    </xf>
    <xf numFmtId="14" fontId="27" fillId="2" borderId="4" xfId="1153" applyNumberFormat="1" applyFont="1" applyFill="1" applyBorder="1" applyAlignment="1">
      <alignment horizontal="center" vertical="center" wrapText="1"/>
    </xf>
    <xf numFmtId="14" fontId="27" fillId="2" borderId="1" xfId="9" applyNumberFormat="1" applyFont="1" applyFill="1" applyBorder="1" applyAlignment="1">
      <alignment horizontal="right" vertical="center" wrapText="1"/>
    </xf>
    <xf numFmtId="180" fontId="27" fillId="2" borderId="1" xfId="9" applyNumberFormat="1" applyFont="1" applyFill="1" applyBorder="1" applyAlignment="1">
      <alignment vertical="center" wrapText="1"/>
    </xf>
    <xf numFmtId="179" fontId="26" fillId="19" borderId="1" xfId="9" applyNumberFormat="1" applyFont="1" applyFill="1" applyBorder="1" applyAlignment="1">
      <alignment vertical="center" wrapText="1"/>
    </xf>
    <xf numFmtId="177" fontId="40" fillId="11" borderId="3" xfId="0" applyNumberFormat="1" applyFont="1" applyFill="1" applyBorder="1" applyAlignment="1">
      <alignment vertical="center" wrapText="1"/>
    </xf>
    <xf numFmtId="14" fontId="40" fillId="11" borderId="3" xfId="0" applyNumberFormat="1" applyFont="1" applyFill="1" applyBorder="1" applyAlignment="1">
      <alignment vertical="center" wrapText="1"/>
    </xf>
    <xf numFmtId="0" fontId="40" fillId="11" borderId="3" xfId="0" applyFont="1" applyFill="1" applyBorder="1" applyAlignment="1">
      <alignment vertical="center" wrapText="1"/>
    </xf>
    <xf numFmtId="14" fontId="27" fillId="0" borderId="1" xfId="9" applyNumberFormat="1" applyFont="1" applyFill="1" applyBorder="1" applyAlignment="1">
      <alignment vertical="center" wrapText="1"/>
    </xf>
    <xf numFmtId="14" fontId="27" fillId="0" borderId="1" xfId="0" applyNumberFormat="1" applyFont="1" applyFill="1" applyBorder="1" applyAlignment="1"/>
    <xf numFmtId="1" fontId="6" fillId="19" borderId="1" xfId="0" applyNumberFormat="1" applyFont="1" applyFill="1" applyBorder="1" applyAlignment="1">
      <alignment horizontal="center" vertical="center" wrapText="1"/>
    </xf>
    <xf numFmtId="14" fontId="27" fillId="10" borderId="1" xfId="0" applyNumberFormat="1" applyFont="1" applyFill="1" applyBorder="1" applyAlignment="1"/>
    <xf numFmtId="0" fontId="27" fillId="0" borderId="4" xfId="0" applyFont="1" applyFill="1" applyBorder="1" applyAlignment="1"/>
    <xf numFmtId="179" fontId="26" fillId="21" borderId="14" xfId="9" applyNumberFormat="1" applyFont="1" applyFill="1" applyBorder="1" applyAlignment="1" applyProtection="1">
      <alignment horizontal="right" vertical="center" wrapText="1"/>
    </xf>
    <xf numFmtId="179" fontId="26" fillId="22" borderId="4" xfId="9" applyNumberFormat="1" applyFont="1" applyFill="1" applyBorder="1" applyAlignment="1">
      <alignment vertical="center" wrapText="1"/>
    </xf>
    <xf numFmtId="179" fontId="27" fillId="0" borderId="4" xfId="9" applyNumberFormat="1" applyFont="1" applyFill="1" applyBorder="1" applyAlignment="1">
      <alignment vertical="center" wrapText="1"/>
    </xf>
    <xf numFmtId="179" fontId="26" fillId="20" borderId="4" xfId="9" applyNumberFormat="1" applyFont="1" applyFill="1" applyBorder="1" applyAlignment="1">
      <alignment horizontal="right" vertical="center"/>
    </xf>
    <xf numFmtId="179" fontId="27" fillId="2" borderId="4" xfId="9" applyNumberFormat="1" applyFont="1" applyFill="1" applyBorder="1" applyAlignment="1">
      <alignment vertical="center" wrapText="1"/>
    </xf>
    <xf numFmtId="179" fontId="26" fillId="25" borderId="26" xfId="9" applyNumberFormat="1" applyFont="1" applyFill="1" applyBorder="1" applyAlignment="1">
      <alignment horizontal="right" vertical="center"/>
    </xf>
    <xf numFmtId="179" fontId="26" fillId="27" borderId="4" xfId="9" applyNumberFormat="1" applyFont="1" applyFill="1" applyBorder="1" applyAlignment="1">
      <alignment horizontal="right" vertical="center" wrapText="1"/>
    </xf>
    <xf numFmtId="179" fontId="26" fillId="28" borderId="4" xfId="9" applyNumberFormat="1" applyFont="1" applyFill="1" applyBorder="1" applyAlignment="1">
      <alignment horizontal="right" vertical="center"/>
    </xf>
    <xf numFmtId="179" fontId="26" fillId="20" borderId="4" xfId="9" applyNumberFormat="1" applyFont="1" applyFill="1" applyBorder="1" applyAlignment="1">
      <alignment horizontal="right" vertical="center" wrapText="1"/>
    </xf>
    <xf numFmtId="179" fontId="26" fillId="26" borderId="4" xfId="9" applyNumberFormat="1" applyFont="1" applyFill="1" applyBorder="1" applyAlignment="1">
      <alignment horizontal="right" vertical="center" wrapText="1"/>
    </xf>
    <xf numFmtId="179" fontId="26" fillId="35" borderId="4" xfId="9" applyNumberFormat="1" applyFont="1" applyFill="1" applyBorder="1" applyAlignment="1">
      <alignment horizontal="right" vertical="center" wrapText="1"/>
    </xf>
    <xf numFmtId="0" fontId="40" fillId="11" borderId="7" xfId="0" applyFont="1" applyFill="1" applyBorder="1" applyAlignment="1">
      <alignment vertical="center" wrapText="1"/>
    </xf>
    <xf numFmtId="3" fontId="26" fillId="20" borderId="4" xfId="0" applyNumberFormat="1" applyFont="1" applyFill="1" applyBorder="1" applyAlignment="1">
      <alignment vertical="center" wrapText="1"/>
    </xf>
    <xf numFmtId="3" fontId="26" fillId="32" borderId="4" xfId="0" applyNumberFormat="1" applyFont="1" applyFill="1" applyBorder="1" applyAlignment="1">
      <alignment vertical="center"/>
    </xf>
    <xf numFmtId="3" fontId="26" fillId="26" borderId="4" xfId="0" applyNumberFormat="1" applyFont="1" applyFill="1" applyBorder="1" applyAlignment="1">
      <alignment horizontal="right" vertical="center" wrapText="1"/>
    </xf>
    <xf numFmtId="3" fontId="26" fillId="33" borderId="4" xfId="0" applyNumberFormat="1" applyFont="1" applyFill="1" applyBorder="1" applyAlignment="1">
      <alignment vertical="center"/>
    </xf>
    <xf numFmtId="177" fontId="40" fillId="11" borderId="1" xfId="0" applyNumberFormat="1" applyFont="1" applyFill="1" applyBorder="1" applyAlignment="1">
      <alignment horizontal="center" vertical="center" wrapText="1"/>
    </xf>
    <xf numFmtId="177" fontId="40" fillId="11" borderId="1" xfId="0" applyNumberFormat="1" applyFont="1" applyFill="1" applyBorder="1" applyAlignment="1">
      <alignment vertical="center" wrapText="1"/>
    </xf>
    <xf numFmtId="0" fontId="27" fillId="29" borderId="1" xfId="0" applyFont="1" applyFill="1" applyBorder="1" applyAlignment="1">
      <alignment horizontal="center" vertical="center" wrapText="1"/>
    </xf>
    <xf numFmtId="0" fontId="0" fillId="0" borderId="1" xfId="0" applyBorder="1"/>
    <xf numFmtId="0" fontId="41" fillId="0" borderId="1" xfId="0" applyFont="1" applyBorder="1" applyAlignment="1">
      <alignment horizontal="center" vertical="center"/>
    </xf>
    <xf numFmtId="179" fontId="0" fillId="0" borderId="1" xfId="9" applyNumberFormat="1" applyFont="1" applyBorder="1" applyAlignment="1">
      <alignment wrapText="1"/>
    </xf>
    <xf numFmtId="179" fontId="41" fillId="0" borderId="1" xfId="0" applyNumberFormat="1" applyFont="1" applyBorder="1" applyAlignment="1">
      <alignment horizontal="center" vertical="center" wrapText="1"/>
    </xf>
    <xf numFmtId="179" fontId="41" fillId="0" borderId="1" xfId="9" applyNumberFormat="1" applyFont="1" applyBorder="1" applyAlignment="1">
      <alignment wrapText="1"/>
    </xf>
    <xf numFmtId="179" fontId="0" fillId="0" borderId="0" xfId="0" applyNumberFormat="1"/>
    <xf numFmtId="0" fontId="0" fillId="0" borderId="0" xfId="0" applyBorder="1" applyAlignment="1"/>
    <xf numFmtId="0" fontId="41" fillId="0" borderId="10" xfId="0" applyFont="1" applyBorder="1" applyAlignment="1">
      <alignment horizontal="center" vertical="center"/>
    </xf>
    <xf numFmtId="0" fontId="41" fillId="0" borderId="10" xfId="0" applyFont="1" applyBorder="1" applyAlignment="1">
      <alignment horizontal="center" vertical="center" wrapText="1"/>
    </xf>
    <xf numFmtId="9" fontId="41" fillId="0" borderId="10" xfId="3847" applyFont="1" applyBorder="1" applyAlignment="1">
      <alignment horizontal="center" vertical="center" wrapText="1"/>
    </xf>
    <xf numFmtId="171" fontId="4" fillId="0" borderId="0" xfId="2" applyNumberFormat="1"/>
    <xf numFmtId="3" fontId="0" fillId="0" borderId="0" xfId="0" applyNumberFormat="1"/>
    <xf numFmtId="4" fontId="0" fillId="0" borderId="0" xfId="0" applyNumberFormat="1"/>
    <xf numFmtId="179" fontId="27" fillId="2" borderId="3" xfId="9" applyNumberFormat="1" applyFont="1" applyFill="1" applyBorder="1" applyAlignment="1">
      <alignment vertical="center"/>
    </xf>
    <xf numFmtId="180" fontId="6" fillId="2" borderId="1" xfId="9" applyNumberFormat="1" applyFont="1" applyFill="1" applyBorder="1" applyAlignment="1">
      <alignment horizontal="center" vertical="center" wrapText="1"/>
    </xf>
    <xf numFmtId="171" fontId="4" fillId="0" borderId="0" xfId="2" applyNumberFormat="1" applyAlignment="1">
      <alignment vertical="center"/>
    </xf>
    <xf numFmtId="179" fontId="27" fillId="0" borderId="4" xfId="9" applyNumberFormat="1" applyFont="1" applyFill="1" applyBorder="1" applyAlignment="1">
      <alignment horizontal="left" vertical="center"/>
    </xf>
    <xf numFmtId="0" fontId="28" fillId="2" borderId="1" xfId="1308" applyFill="1" applyBorder="1" applyAlignment="1">
      <alignment horizontal="center" vertical="center" wrapText="1"/>
    </xf>
    <xf numFmtId="3" fontId="6" fillId="2" borderId="1" xfId="0" applyNumberFormat="1" applyFont="1" applyFill="1" applyBorder="1" applyAlignment="1">
      <alignment horizontal="left" vertical="center" wrapText="1"/>
    </xf>
    <xf numFmtId="0" fontId="6" fillId="2" borderId="1" xfId="0" applyFont="1" applyFill="1" applyBorder="1" applyAlignment="1">
      <alignment horizontal="center" vertical="center" wrapText="1"/>
    </xf>
    <xf numFmtId="179" fontId="36" fillId="0" borderId="1" xfId="9" applyNumberFormat="1" applyFont="1" applyFill="1" applyBorder="1" applyAlignment="1">
      <alignment vertical="center" wrapText="1"/>
    </xf>
    <xf numFmtId="0" fontId="6" fillId="2" borderId="1" xfId="0" applyFont="1" applyFill="1" applyBorder="1" applyAlignment="1">
      <alignment horizontal="center" vertical="center" wrapText="1"/>
    </xf>
    <xf numFmtId="0" fontId="33" fillId="0" borderId="5" xfId="0" applyFont="1" applyBorder="1" applyAlignment="1">
      <alignment horizontal="center" vertical="center"/>
    </xf>
    <xf numFmtId="177" fontId="39" fillId="11" borderId="6" xfId="0" applyNumberFormat="1" applyFont="1" applyFill="1" applyBorder="1" applyAlignment="1">
      <alignment horizontal="center" vertical="center" wrapText="1"/>
    </xf>
    <xf numFmtId="177" fontId="39" fillId="11" borderId="3" xfId="0" applyNumberFormat="1" applyFont="1" applyFill="1" applyBorder="1" applyAlignment="1">
      <alignment horizontal="center" vertical="center" wrapText="1"/>
    </xf>
    <xf numFmtId="177" fontId="39" fillId="11" borderId="3" xfId="0" applyNumberFormat="1" applyFont="1" applyFill="1" applyBorder="1" applyAlignment="1">
      <alignment vertical="center" wrapText="1"/>
    </xf>
    <xf numFmtId="14" fontId="39" fillId="11" borderId="3" xfId="0" applyNumberFormat="1" applyFont="1" applyFill="1" applyBorder="1" applyAlignment="1">
      <alignment vertical="center" wrapText="1"/>
    </xf>
    <xf numFmtId="0" fontId="39" fillId="11" borderId="3" xfId="0" applyFont="1" applyFill="1" applyBorder="1" applyAlignment="1">
      <alignment vertical="center" wrapText="1"/>
    </xf>
    <xf numFmtId="9" fontId="4" fillId="0" borderId="1" xfId="3847" applyBorder="1" applyAlignment="1">
      <alignment horizontal="center" wrapText="1"/>
    </xf>
    <xf numFmtId="0" fontId="6" fillId="2" borderId="1"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3" fontId="27" fillId="2" borderId="1" xfId="664" applyNumberFormat="1" applyFont="1" applyFill="1" applyBorder="1" applyAlignment="1">
      <alignment horizontal="center" vertical="center" wrapText="1"/>
    </xf>
    <xf numFmtId="0" fontId="27" fillId="2" borderId="3" xfId="1293" applyFont="1" applyFill="1" applyBorder="1" applyAlignment="1">
      <alignment horizontal="center" vertical="center"/>
    </xf>
    <xf numFmtId="0" fontId="27" fillId="10" borderId="1" xfId="0" applyFont="1" applyFill="1" applyBorder="1" applyAlignment="1">
      <alignment horizontal="center" vertical="center" wrapText="1"/>
    </xf>
    <xf numFmtId="179" fontId="27" fillId="10" borderId="1" xfId="9" applyNumberFormat="1" applyFont="1" applyFill="1" applyBorder="1" applyAlignment="1">
      <alignment vertical="center" wrapText="1"/>
    </xf>
    <xf numFmtId="0" fontId="42" fillId="0" borderId="0" xfId="0" applyFont="1" applyBorder="1" applyAlignment="1">
      <alignment horizontal="center" vertical="center" wrapText="1" readingOrder="1"/>
    </xf>
    <xf numFmtId="0" fontId="0" fillId="0" borderId="0" xfId="0" applyBorder="1"/>
    <xf numFmtId="0" fontId="42" fillId="0" borderId="0" xfId="0" applyFont="1" applyBorder="1" applyAlignment="1">
      <alignment horizontal="center" wrapText="1" readingOrder="1"/>
    </xf>
    <xf numFmtId="9" fontId="42" fillId="0" borderId="0" xfId="0" applyNumberFormat="1" applyFont="1" applyBorder="1" applyAlignment="1">
      <alignment horizontal="center" wrapText="1" readingOrder="1"/>
    </xf>
    <xf numFmtId="10" fontId="42" fillId="0" borderId="0" xfId="0" applyNumberFormat="1" applyFont="1" applyBorder="1" applyAlignment="1">
      <alignment horizontal="center" wrapText="1" readingOrder="1"/>
    </xf>
    <xf numFmtId="0" fontId="6" fillId="2" borderId="1" xfId="0" applyFont="1" applyFill="1" applyBorder="1" applyAlignment="1">
      <alignment horizontal="center" vertical="center" wrapText="1"/>
    </xf>
    <xf numFmtId="0" fontId="43" fillId="0" borderId="30" xfId="0" applyFont="1" applyBorder="1" applyAlignment="1">
      <alignment horizontal="center" vertical="center" wrapText="1" readingOrder="1"/>
    </xf>
    <xf numFmtId="0" fontId="43" fillId="0" borderId="30" xfId="0" applyFont="1" applyBorder="1" applyAlignment="1">
      <alignment horizontal="center" wrapText="1" readingOrder="1"/>
    </xf>
    <xf numFmtId="9" fontId="43" fillId="0" borderId="30" xfId="0" applyNumberFormat="1" applyFont="1" applyBorder="1" applyAlignment="1">
      <alignment horizontal="center" wrapText="1" readingOrder="1"/>
    </xf>
    <xf numFmtId="0" fontId="6" fillId="2" borderId="3" xfId="0" applyFont="1" applyFill="1" applyBorder="1" applyAlignment="1">
      <alignment vertical="center" wrapText="1"/>
    </xf>
    <xf numFmtId="0" fontId="6" fillId="2" borderId="1" xfId="0" applyFont="1" applyFill="1" applyBorder="1" applyAlignment="1">
      <alignment horizontal="center" vertical="center" wrapText="1"/>
    </xf>
    <xf numFmtId="3" fontId="33" fillId="2" borderId="1" xfId="0" applyNumberFormat="1" applyFont="1" applyFill="1" applyBorder="1" applyAlignment="1">
      <alignment horizontal="center" vertical="center"/>
    </xf>
    <xf numFmtId="0" fontId="8" fillId="19" borderId="3" xfId="0" applyFont="1" applyFill="1" applyBorder="1" applyAlignment="1">
      <alignment horizontal="center" vertical="center" wrapText="1"/>
    </xf>
    <xf numFmtId="179" fontId="27" fillId="2" borderId="3" xfId="9" applyNumberFormat="1" applyFont="1" applyFill="1" applyBorder="1" applyAlignment="1">
      <alignment horizontal="left" vertical="center" wrapText="1"/>
    </xf>
    <xf numFmtId="3" fontId="27" fillId="0" borderId="3" xfId="9" applyNumberFormat="1" applyFont="1" applyFill="1" applyBorder="1" applyAlignment="1">
      <alignment vertical="center"/>
    </xf>
    <xf numFmtId="3" fontId="27" fillId="2" borderId="3" xfId="1158" applyNumberFormat="1" applyFont="1" applyFill="1" applyBorder="1" applyAlignment="1">
      <alignment horizontal="left" vertical="center" wrapText="1"/>
    </xf>
    <xf numFmtId="0" fontId="27" fillId="0" borderId="3" xfId="0" applyFont="1" applyBorder="1" applyAlignment="1"/>
    <xf numFmtId="179" fontId="27" fillId="0" borderId="3" xfId="9" applyNumberFormat="1" applyFont="1" applyFill="1" applyBorder="1" applyAlignment="1">
      <alignment vertical="center" wrapText="1"/>
    </xf>
    <xf numFmtId="14" fontId="27" fillId="2" borderId="7" xfId="1153" applyNumberFormat="1" applyFont="1" applyFill="1" applyBorder="1" applyAlignment="1">
      <alignment horizontal="center" vertical="center" wrapText="1"/>
    </xf>
    <xf numFmtId="180" fontId="27" fillId="2" borderId="3" xfId="9" applyNumberFormat="1" applyFont="1" applyFill="1" applyBorder="1" applyAlignment="1">
      <alignment vertical="center" wrapText="1"/>
    </xf>
    <xf numFmtId="179" fontId="26" fillId="30" borderId="10" xfId="9" applyNumberFormat="1" applyFont="1" applyFill="1" applyBorder="1" applyAlignment="1">
      <alignment vertical="center"/>
    </xf>
    <xf numFmtId="3" fontId="26" fillId="30" borderId="10" xfId="0" applyNumberFormat="1" applyFont="1" applyFill="1" applyBorder="1" applyAlignment="1">
      <alignment vertical="center"/>
    </xf>
    <xf numFmtId="3" fontId="26" fillId="30" borderId="14" xfId="0" applyNumberFormat="1" applyFont="1" applyFill="1" applyBorder="1" applyAlignment="1">
      <alignment vertical="center"/>
    </xf>
    <xf numFmtId="14" fontId="27" fillId="2" borderId="1" xfId="1153" applyNumberFormat="1" applyFont="1" applyFill="1" applyBorder="1" applyAlignment="1">
      <alignment horizontal="center" vertical="center" wrapText="1"/>
    </xf>
    <xf numFmtId="14" fontId="6" fillId="2" borderId="1" xfId="9" applyNumberFormat="1" applyFont="1" applyFill="1" applyBorder="1" applyAlignment="1">
      <alignment horizontal="left" vertical="center" wrapText="1"/>
    </xf>
    <xf numFmtId="173" fontId="27" fillId="10" borderId="3" xfId="2" applyNumberFormat="1" applyFont="1" applyFill="1" applyBorder="1" applyAlignment="1">
      <alignment horizontal="center" vertical="center" wrapText="1" readingOrder="1"/>
    </xf>
    <xf numFmtId="173" fontId="27" fillId="10" borderId="10" xfId="2" applyNumberFormat="1" applyFont="1" applyFill="1" applyBorder="1" applyAlignment="1">
      <alignment horizontal="center" vertical="center" wrapText="1" readingOrder="1"/>
    </xf>
    <xf numFmtId="0" fontId="27" fillId="0" borderId="1" xfId="0" applyFont="1" applyFill="1" applyBorder="1" applyAlignment="1">
      <alignment horizontal="center" vertical="center" wrapText="1"/>
    </xf>
    <xf numFmtId="0" fontId="27" fillId="44" borderId="1" xfId="0" applyFont="1" applyFill="1" applyBorder="1" applyAlignment="1">
      <alignment horizontal="center" vertical="center" wrapText="1"/>
    </xf>
    <xf numFmtId="0" fontId="27" fillId="14" borderId="1" xfId="0" applyFont="1" applyFill="1" applyBorder="1" applyAlignment="1">
      <alignment horizontal="center" vertical="center" wrapText="1"/>
    </xf>
    <xf numFmtId="0" fontId="27" fillId="35" borderId="1" xfId="0" applyFont="1" applyFill="1" applyBorder="1" applyAlignment="1">
      <alignment horizontal="center" vertical="center" wrapText="1"/>
    </xf>
    <xf numFmtId="0" fontId="27" fillId="35" borderId="9" xfId="0" applyFont="1" applyFill="1" applyBorder="1" applyAlignment="1">
      <alignment horizontal="center" vertical="center" wrapText="1"/>
    </xf>
    <xf numFmtId="0" fontId="27" fillId="14"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34" borderId="1" xfId="0" applyFont="1" applyFill="1" applyBorder="1" applyAlignment="1">
      <alignment horizontal="center" vertical="center" wrapText="1"/>
    </xf>
    <xf numFmtId="0" fontId="44" fillId="19"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14" fontId="33" fillId="0" borderId="1" xfId="0" applyNumberFormat="1" applyFont="1" applyBorder="1" applyAlignment="1">
      <alignment vertical="center"/>
    </xf>
    <xf numFmtId="0" fontId="27" fillId="2" borderId="6" xfId="0" applyFont="1" applyFill="1" applyBorder="1" applyAlignment="1">
      <alignment horizontal="left" wrapText="1"/>
    </xf>
    <xf numFmtId="0" fontId="27" fillId="2" borderId="3" xfId="0" applyFont="1" applyFill="1" applyBorder="1" applyAlignment="1">
      <alignment horizontal="justify" vertical="justify" wrapText="1"/>
    </xf>
    <xf numFmtId="0" fontId="6"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6" fillId="2" borderId="16" xfId="0" applyFont="1" applyFill="1" applyBorder="1" applyAlignment="1">
      <alignment horizontal="justify" vertical="top" wrapText="1"/>
    </xf>
    <xf numFmtId="0" fontId="12" fillId="2" borderId="1" xfId="0" applyFont="1" applyFill="1" applyBorder="1" applyAlignment="1">
      <alignment vertical="center" wrapText="1"/>
    </xf>
    <xf numFmtId="0" fontId="33" fillId="2" borderId="1" xfId="0" applyFont="1" applyFill="1" applyBorder="1" applyAlignment="1">
      <alignment horizontal="center" vertical="center" wrapText="1"/>
    </xf>
    <xf numFmtId="0" fontId="46" fillId="2" borderId="0" xfId="0" applyFont="1" applyFill="1" applyAlignment="1">
      <alignment vertical="center"/>
    </xf>
    <xf numFmtId="0" fontId="31" fillId="2" borderId="0" xfId="0" applyFont="1" applyFill="1" applyAlignment="1">
      <alignment vertical="center"/>
    </xf>
    <xf numFmtId="179" fontId="31" fillId="2" borderId="0" xfId="9" applyNumberFormat="1" applyFont="1" applyFill="1" applyAlignment="1">
      <alignment vertical="center"/>
    </xf>
    <xf numFmtId="0" fontId="46" fillId="2" borderId="17" xfId="0" applyFont="1" applyFill="1" applyBorder="1" applyAlignment="1">
      <alignment vertical="center"/>
    </xf>
    <xf numFmtId="179" fontId="31" fillId="2" borderId="0" xfId="0" applyNumberFormat="1" applyFont="1" applyFill="1" applyAlignment="1">
      <alignment vertical="center"/>
    </xf>
    <xf numFmtId="179" fontId="46" fillId="2" borderId="0" xfId="9" applyNumberFormat="1" applyFont="1" applyFill="1" applyAlignment="1">
      <alignment vertical="center"/>
    </xf>
    <xf numFmtId="0" fontId="0" fillId="0" borderId="27" xfId="0" applyBorder="1" applyAlignment="1"/>
    <xf numFmtId="0" fontId="0" fillId="0" borderId="28" xfId="0" applyBorder="1" applyAlignment="1"/>
    <xf numFmtId="0" fontId="0" fillId="0" borderId="29" xfId="0" applyBorder="1" applyAlignment="1"/>
    <xf numFmtId="179" fontId="6" fillId="11" borderId="1" xfId="9" applyNumberFormat="1" applyFont="1" applyFill="1" applyBorder="1" applyAlignment="1">
      <alignment horizontal="left" vertical="center" wrapText="1"/>
    </xf>
    <xf numFmtId="179" fontId="27" fillId="0" borderId="9" xfId="9" applyNumberFormat="1" applyFont="1" applyFill="1" applyBorder="1" applyAlignment="1">
      <alignment vertical="center" wrapText="1"/>
    </xf>
    <xf numFmtId="0" fontId="27" fillId="11"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1" fontId="27" fillId="2" borderId="1" xfId="663" applyNumberFormat="1" applyFont="1" applyFill="1" applyBorder="1" applyAlignment="1">
      <alignment horizontal="center" vertical="center"/>
    </xf>
    <xf numFmtId="0" fontId="27" fillId="2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179" fontId="26" fillId="20" borderId="24" xfId="9" applyNumberFormat="1" applyFont="1" applyFill="1" applyBorder="1" applyAlignment="1">
      <alignment horizontal="right" vertical="center"/>
    </xf>
    <xf numFmtId="0" fontId="27" fillId="2" borderId="1" xfId="0" applyFont="1" applyFill="1" applyBorder="1" applyAlignment="1">
      <alignment horizontal="center" vertical="top" wrapText="1"/>
    </xf>
    <xf numFmtId="1" fontId="27" fillId="2" borderId="1" xfId="663" applyNumberFormat="1" applyFont="1" applyFill="1" applyBorder="1" applyAlignment="1">
      <alignment horizontal="right" vertical="center"/>
    </xf>
    <xf numFmtId="0" fontId="45" fillId="2" borderId="1" xfId="0" applyFont="1" applyFill="1" applyBorder="1" applyAlignment="1">
      <alignment vertical="center" wrapText="1"/>
    </xf>
    <xf numFmtId="179" fontId="27" fillId="10" borderId="1" xfId="9" applyNumberFormat="1" applyFont="1" applyFill="1" applyBorder="1" applyAlignment="1">
      <alignment horizontal="right" vertical="center" wrapText="1"/>
    </xf>
    <xf numFmtId="177" fontId="49" fillId="10" borderId="1" xfId="0" applyNumberFormat="1" applyFont="1" applyFill="1" applyBorder="1" applyAlignment="1">
      <alignment vertical="center" wrapText="1"/>
    </xf>
    <xf numFmtId="3" fontId="27" fillId="2" borderId="1" xfId="9" applyNumberFormat="1" applyFont="1" applyFill="1" applyBorder="1" applyAlignment="1">
      <alignment horizontal="center" vertical="center" wrapText="1"/>
    </xf>
    <xf numFmtId="1" fontId="27" fillId="2" borderId="1" xfId="0" applyNumberFormat="1" applyFont="1" applyFill="1" applyBorder="1" applyAlignment="1">
      <alignment horizontal="right" vertical="center" wrapText="1"/>
    </xf>
    <xf numFmtId="179" fontId="27" fillId="2" borderId="1" xfId="9"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79" fontId="36" fillId="2" borderId="1" xfId="9" applyNumberFormat="1" applyFont="1" applyFill="1" applyBorder="1" applyAlignment="1">
      <alignment vertical="center" wrapText="1"/>
    </xf>
    <xf numFmtId="14" fontId="27" fillId="0" borderId="1" xfId="0" applyNumberFormat="1" applyFont="1" applyFill="1" applyBorder="1" applyAlignment="1">
      <alignment vertical="center"/>
    </xf>
    <xf numFmtId="0" fontId="27" fillId="19" borderId="3" xfId="0" applyFont="1" applyFill="1" applyBorder="1" applyAlignment="1">
      <alignment horizontal="center" vertical="center" wrapText="1"/>
    </xf>
    <xf numFmtId="0" fontId="27" fillId="19" borderId="1" xfId="0" applyFont="1" applyFill="1" applyBorder="1" applyAlignment="1">
      <alignment horizontal="center" vertical="center" wrapText="1"/>
    </xf>
    <xf numFmtId="0" fontId="27" fillId="2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10" borderId="9" xfId="0" applyFont="1" applyFill="1" applyBorder="1" applyAlignment="1">
      <alignment horizontal="center" vertical="center" wrapText="1"/>
    </xf>
    <xf numFmtId="0" fontId="49" fillId="2" borderId="1" xfId="0" applyFont="1" applyFill="1" applyBorder="1" applyAlignment="1">
      <alignment vertical="center" wrapText="1"/>
    </xf>
    <xf numFmtId="179" fontId="27" fillId="2" borderId="9" xfId="9" applyNumberFormat="1" applyFont="1" applyFill="1" applyBorder="1" applyAlignment="1">
      <alignment vertical="center" wrapText="1"/>
    </xf>
    <xf numFmtId="177" fontId="49" fillId="2" borderId="1" xfId="0" applyNumberFormat="1" applyFont="1" applyFill="1" applyBorder="1" applyAlignment="1">
      <alignment vertical="center" wrapText="1"/>
    </xf>
    <xf numFmtId="179" fontId="27" fillId="2" borderId="3" xfId="664" applyNumberFormat="1" applyFont="1" applyFill="1" applyBorder="1" applyAlignment="1">
      <alignment horizontal="center" vertical="center" wrapText="1"/>
    </xf>
    <xf numFmtId="1" fontId="27" fillId="2" borderId="3" xfId="663" applyNumberFormat="1" applyFont="1" applyFill="1" applyBorder="1" applyAlignment="1">
      <alignment horizontal="center" vertical="center"/>
    </xf>
    <xf numFmtId="0" fontId="28" fillId="2" borderId="3" xfId="1308" applyFill="1" applyBorder="1" applyAlignment="1">
      <alignment horizontal="center" vertical="center" wrapText="1"/>
    </xf>
    <xf numFmtId="0" fontId="6" fillId="2" borderId="1" xfId="0" applyFont="1" applyFill="1" applyBorder="1" applyAlignment="1">
      <alignment vertical="center" wrapText="1"/>
    </xf>
    <xf numFmtId="1" fontId="27" fillId="2" borderId="1" xfId="663" applyNumberFormat="1" applyFont="1" applyFill="1" applyBorder="1" applyAlignment="1">
      <alignment horizontal="center" vertical="center" wrapText="1"/>
    </xf>
    <xf numFmtId="0" fontId="36" fillId="2" borderId="1" xfId="0" applyFont="1" applyFill="1" applyBorder="1" applyAlignment="1">
      <alignment horizontal="center" vertical="center" wrapText="1"/>
    </xf>
    <xf numFmtId="0" fontId="49"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3" fillId="2" borderId="1" xfId="0" applyFont="1" applyFill="1" applyBorder="1" applyAlignment="1">
      <alignment vertical="center" wrapText="1"/>
    </xf>
    <xf numFmtId="0" fontId="27"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1" fontId="6" fillId="2" borderId="3" xfId="0" applyNumberFormat="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xf>
    <xf numFmtId="0" fontId="27" fillId="2" borderId="3" xfId="0" applyFont="1" applyFill="1" applyBorder="1" applyAlignment="1">
      <alignment horizontal="center" vertical="center" wrapText="1"/>
    </xf>
    <xf numFmtId="0" fontId="27" fillId="19" borderId="10"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6" fillId="20" borderId="1" xfId="0" applyFont="1" applyFill="1" applyBorder="1" applyAlignment="1">
      <alignment horizontal="center" vertical="center" wrapText="1"/>
    </xf>
    <xf numFmtId="0" fontId="26" fillId="22" borderId="1" xfId="0" applyFont="1" applyFill="1" applyBorder="1" applyAlignment="1">
      <alignment horizontal="center" vertical="center" wrapText="1"/>
    </xf>
    <xf numFmtId="0" fontId="27" fillId="19"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 xfId="0" applyFont="1" applyFill="1" applyBorder="1" applyAlignment="1">
      <alignment horizontal="center" vertical="center" wrapText="1"/>
    </xf>
    <xf numFmtId="173" fontId="55" fillId="10" borderId="1" xfId="2" applyNumberFormat="1" applyFont="1" applyFill="1" applyBorder="1" applyAlignment="1">
      <alignment horizontal="center" vertical="center" textRotation="90" wrapText="1" readingOrder="1"/>
    </xf>
    <xf numFmtId="173" fontId="55" fillId="10" borderId="2" xfId="2" applyNumberFormat="1" applyFont="1" applyFill="1" applyBorder="1" applyAlignment="1">
      <alignment horizontal="center" vertical="center" wrapText="1"/>
    </xf>
    <xf numFmtId="173" fontId="55" fillId="10" borderId="3" xfId="2" applyNumberFormat="1" applyFont="1" applyFill="1" applyBorder="1" applyAlignment="1">
      <alignment horizontal="center" vertical="center" wrapText="1"/>
    </xf>
    <xf numFmtId="173" fontId="55" fillId="10" borderId="7" xfId="2" applyNumberFormat="1" applyFont="1" applyFill="1" applyBorder="1" applyAlignment="1">
      <alignment horizontal="center" vertical="center" wrapText="1"/>
    </xf>
    <xf numFmtId="179" fontId="55" fillId="10" borderId="3" xfId="9" applyNumberFormat="1" applyFont="1" applyFill="1" applyBorder="1" applyAlignment="1">
      <alignment horizontal="center" vertical="center" wrapText="1"/>
    </xf>
    <xf numFmtId="179" fontId="55" fillId="10" borderId="3" xfId="9" applyNumberFormat="1" applyFont="1" applyFill="1" applyBorder="1" applyAlignment="1">
      <alignment horizontal="center" vertical="center"/>
    </xf>
    <xf numFmtId="0" fontId="27" fillId="19" borderId="10" xfId="0" applyFont="1" applyFill="1" applyBorder="1" applyAlignment="1">
      <alignment vertical="center" textRotation="90" wrapText="1"/>
    </xf>
    <xf numFmtId="0" fontId="27" fillId="44" borderId="10" xfId="0" applyFont="1" applyFill="1" applyBorder="1" applyAlignment="1">
      <alignment horizontal="center" vertical="center" wrapText="1"/>
    </xf>
    <xf numFmtId="0" fontId="27" fillId="2" borderId="10" xfId="0" applyFont="1" applyFill="1" applyBorder="1" applyAlignment="1">
      <alignment horizontal="justify" vertical="justify" wrapText="1"/>
    </xf>
    <xf numFmtId="0" fontId="27" fillId="0" borderId="10" xfId="0" applyFont="1" applyFill="1" applyBorder="1" applyAlignment="1">
      <alignment horizontal="left" vertical="center" wrapText="1"/>
    </xf>
    <xf numFmtId="0" fontId="35" fillId="0" borderId="10" xfId="1308" applyFont="1" applyFill="1" applyBorder="1" applyAlignment="1">
      <alignment horizontal="center" vertical="center" wrapText="1"/>
    </xf>
    <xf numFmtId="3" fontId="27" fillId="0" borderId="10" xfId="9" applyNumberFormat="1" applyFont="1" applyFill="1" applyBorder="1" applyAlignment="1">
      <alignment horizontal="center" vertical="center" wrapText="1"/>
    </xf>
    <xf numFmtId="3" fontId="27" fillId="0" borderId="10" xfId="0" applyNumberFormat="1" applyFont="1" applyFill="1" applyBorder="1" applyAlignment="1">
      <alignment horizontal="center" vertical="center" wrapText="1"/>
    </xf>
    <xf numFmtId="1" fontId="27" fillId="0" borderId="10" xfId="0" applyNumberFormat="1" applyFont="1" applyFill="1" applyBorder="1" applyAlignment="1">
      <alignment horizontal="center" vertical="center" wrapText="1"/>
    </xf>
    <xf numFmtId="0" fontId="8" fillId="19" borderId="10" xfId="0" applyFont="1" applyFill="1" applyBorder="1" applyAlignment="1">
      <alignment horizontal="center" vertical="center" wrapText="1"/>
    </xf>
    <xf numFmtId="179" fontId="27" fillId="0" borderId="10" xfId="9" applyNumberFormat="1" applyFont="1" applyFill="1" applyBorder="1" applyAlignment="1">
      <alignment vertical="center" wrapText="1"/>
    </xf>
    <xf numFmtId="179" fontId="27" fillId="10" borderId="10" xfId="9" applyNumberFormat="1" applyFont="1" applyFill="1" applyBorder="1" applyAlignment="1">
      <alignment vertical="center" wrapText="1"/>
    </xf>
    <xf numFmtId="179" fontId="40" fillId="2" borderId="1" xfId="9" applyNumberFormat="1" applyFont="1" applyFill="1" applyBorder="1" applyAlignment="1">
      <alignment vertical="center"/>
    </xf>
    <xf numFmtId="179" fontId="40" fillId="2" borderId="1" xfId="9" applyNumberFormat="1" applyFont="1" applyFill="1" applyBorder="1" applyAlignment="1">
      <alignment horizontal="left" vertical="center" wrapText="1"/>
    </xf>
    <xf numFmtId="179" fontId="40" fillId="10" borderId="1" xfId="9" applyNumberFormat="1" applyFont="1" applyFill="1" applyBorder="1" applyAlignment="1">
      <alignment horizontal="right" vertical="center" wrapText="1"/>
    </xf>
    <xf numFmtId="179" fontId="40" fillId="2" borderId="3" xfId="9" applyNumberFormat="1" applyFont="1" applyFill="1" applyBorder="1" applyAlignment="1">
      <alignment vertical="center"/>
    </xf>
    <xf numFmtId="179" fontId="40" fillId="2" borderId="3" xfId="9" applyNumberFormat="1" applyFont="1" applyFill="1" applyBorder="1" applyAlignment="1">
      <alignment horizontal="left" vertical="center" wrapText="1"/>
    </xf>
    <xf numFmtId="179" fontId="40" fillId="10" borderId="3" xfId="9" applyNumberFormat="1" applyFont="1" applyFill="1" applyBorder="1" applyAlignment="1">
      <alignment horizontal="right" vertical="center" wrapText="1"/>
    </xf>
    <xf numFmtId="0" fontId="6" fillId="18" borderId="1" xfId="0" applyFont="1" applyFill="1" applyBorder="1" applyAlignment="1">
      <alignment horizontal="center" vertical="center" wrapText="1"/>
    </xf>
    <xf numFmtId="0" fontId="6" fillId="34" borderId="1" xfId="0" applyFont="1" applyFill="1" applyBorder="1" applyAlignment="1">
      <alignment horizontal="center" vertical="center" wrapText="1"/>
    </xf>
    <xf numFmtId="0" fontId="6" fillId="2" borderId="1" xfId="0" applyFont="1" applyFill="1" applyBorder="1" applyAlignment="1">
      <alignment horizontal="left" wrapText="1"/>
    </xf>
    <xf numFmtId="0" fontId="54" fillId="2" borderId="3" xfId="1308" applyFont="1" applyFill="1" applyBorder="1" applyAlignment="1">
      <alignment horizontal="left" vertical="center" wrapText="1"/>
    </xf>
    <xf numFmtId="17" fontId="6" fillId="2" borderId="3" xfId="1293" applyNumberFormat="1" applyFont="1" applyFill="1" applyBorder="1" applyAlignment="1">
      <alignment horizontal="center" vertical="center"/>
    </xf>
    <xf numFmtId="0" fontId="6" fillId="2" borderId="1" xfId="1293" applyFont="1" applyFill="1" applyBorder="1" applyAlignment="1">
      <alignment horizontal="center" vertical="center"/>
    </xf>
    <xf numFmtId="179" fontId="6" fillId="2" borderId="1" xfId="9" applyNumberFormat="1" applyFont="1" applyFill="1" applyBorder="1" applyAlignment="1">
      <alignment vertical="center"/>
    </xf>
    <xf numFmtId="179" fontId="6" fillId="10" borderId="1" xfId="9" applyNumberFormat="1" applyFont="1" applyFill="1" applyBorder="1" applyAlignment="1">
      <alignment horizontal="right" vertical="center" wrapText="1"/>
    </xf>
    <xf numFmtId="0" fontId="54" fillId="0" borderId="3" xfId="1308" applyFont="1" applyFill="1" applyBorder="1" applyAlignment="1">
      <alignment horizontal="left" vertical="center" wrapText="1"/>
    </xf>
    <xf numFmtId="17" fontId="6" fillId="0" borderId="3" xfId="1293" applyNumberFormat="1" applyFont="1" applyFill="1" applyBorder="1" applyAlignment="1">
      <alignment horizontal="center" vertical="center"/>
    </xf>
    <xf numFmtId="0" fontId="6" fillId="0" borderId="1" xfId="1293" applyFont="1" applyFill="1" applyBorder="1" applyAlignment="1">
      <alignment horizontal="center" vertical="center"/>
    </xf>
    <xf numFmtId="1" fontId="6" fillId="0" borderId="1" xfId="0" applyNumberFormat="1" applyFont="1" applyFill="1" applyBorder="1" applyAlignment="1">
      <alignment horizontal="center" vertical="center" wrapText="1"/>
    </xf>
    <xf numFmtId="17" fontId="6" fillId="2" borderId="1" xfId="1293" applyNumberFormat="1" applyFont="1" applyFill="1" applyBorder="1" applyAlignment="1">
      <alignment horizontal="center" vertical="center"/>
    </xf>
    <xf numFmtId="0" fontId="6" fillId="18" borderId="3" xfId="0" applyFont="1" applyFill="1" applyBorder="1" applyAlignment="1">
      <alignment horizontal="center" vertical="center" wrapText="1"/>
    </xf>
    <xf numFmtId="0" fontId="6" fillId="34" borderId="9" xfId="0" applyFont="1" applyFill="1" applyBorder="1" applyAlignment="1">
      <alignment horizontal="center" vertical="center" wrapText="1"/>
    </xf>
    <xf numFmtId="0" fontId="6" fillId="2" borderId="3" xfId="0" applyFont="1" applyFill="1" applyBorder="1" applyAlignment="1">
      <alignment horizontal="left" wrapText="1"/>
    </xf>
    <xf numFmtId="0" fontId="6" fillId="2" borderId="3" xfId="0" applyFont="1" applyFill="1" applyBorder="1" applyAlignment="1">
      <alignment horizontal="left" vertical="center" wrapText="1"/>
    </xf>
    <xf numFmtId="0" fontId="6" fillId="2" borderId="3" xfId="1293" applyFont="1" applyFill="1" applyBorder="1" applyAlignment="1">
      <alignment horizontal="center" vertical="center"/>
    </xf>
    <xf numFmtId="0" fontId="54" fillId="2" borderId="1" xfId="1308" applyFont="1" applyFill="1" applyBorder="1" applyAlignment="1">
      <alignment horizontal="left" vertical="center" wrapText="1"/>
    </xf>
    <xf numFmtId="0" fontId="5" fillId="20" borderId="10" xfId="0" applyFont="1" applyFill="1" applyBorder="1" applyAlignment="1">
      <alignment horizontal="center" vertical="justify" wrapText="1"/>
    </xf>
    <xf numFmtId="179" fontId="5" fillId="30" borderId="10" xfId="9" applyNumberFormat="1" applyFont="1" applyFill="1" applyBorder="1" applyAlignment="1">
      <alignment vertical="center"/>
    </xf>
    <xf numFmtId="0" fontId="5" fillId="31" borderId="1" xfId="0" applyFont="1" applyFill="1" applyBorder="1" applyAlignment="1">
      <alignment horizontal="center" vertical="center" wrapText="1"/>
    </xf>
    <xf numFmtId="179" fontId="5" fillId="32" borderId="1" xfId="9" applyNumberFormat="1" applyFont="1" applyFill="1" applyBorder="1" applyAlignment="1">
      <alignment vertical="center"/>
    </xf>
    <xf numFmtId="0" fontId="5" fillId="28" borderId="1" xfId="0" applyFont="1" applyFill="1" applyBorder="1" applyAlignment="1">
      <alignment horizontal="center" vertical="center"/>
    </xf>
    <xf numFmtId="179" fontId="5" fillId="26" borderId="1" xfId="9" applyNumberFormat="1" applyFont="1" applyFill="1" applyBorder="1" applyAlignment="1">
      <alignment horizontal="right" vertical="center" wrapText="1"/>
    </xf>
    <xf numFmtId="0" fontId="6" fillId="14" borderId="1" xfId="0" applyFont="1" applyFill="1" applyBorder="1"/>
    <xf numFmtId="179" fontId="5" fillId="33" borderId="1" xfId="9" applyNumberFormat="1" applyFont="1" applyFill="1" applyBorder="1" applyAlignment="1">
      <alignment vertical="center"/>
    </xf>
    <xf numFmtId="0" fontId="5" fillId="20" borderId="1" xfId="0" applyFont="1" applyFill="1" applyBorder="1" applyAlignment="1">
      <alignment horizontal="center" vertical="justify" wrapText="1"/>
    </xf>
    <xf numFmtId="179" fontId="5" fillId="20" borderId="1" xfId="9" applyNumberFormat="1" applyFont="1" applyFill="1" applyBorder="1" applyAlignment="1">
      <alignment vertical="center" wrapText="1"/>
    </xf>
    <xf numFmtId="0" fontId="18" fillId="0" borderId="0" xfId="0" applyFont="1" applyAlignment="1">
      <alignment wrapText="1"/>
    </xf>
    <xf numFmtId="0" fontId="6" fillId="2" borderId="1" xfId="0" applyFont="1" applyFill="1" applyBorder="1" applyAlignment="1">
      <alignment horizontal="justify" vertical="center" wrapText="1"/>
    </xf>
    <xf numFmtId="179" fontId="6" fillId="2" borderId="1" xfId="9" applyNumberFormat="1" applyFont="1" applyFill="1" applyBorder="1" applyAlignment="1">
      <alignment horizontal="right" vertical="center" wrapText="1"/>
    </xf>
    <xf numFmtId="169" fontId="31" fillId="18" borderId="0" xfId="0" applyNumberFormat="1" applyFont="1" applyFill="1" applyBorder="1" applyAlignment="1">
      <alignment horizontal="center" vertical="center"/>
    </xf>
    <xf numFmtId="169" fontId="31" fillId="18" borderId="0" xfId="0" applyNumberFormat="1" applyFont="1" applyFill="1" applyBorder="1" applyAlignment="1">
      <alignment vertical="center"/>
    </xf>
    <xf numFmtId="0" fontId="27"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10" borderId="1" xfId="0" applyFont="1" applyFill="1" applyBorder="1" applyAlignment="1">
      <alignment horizontal="justify" vertical="justify" wrapText="1"/>
    </xf>
    <xf numFmtId="0" fontId="27" fillId="2" borderId="1" xfId="0" applyFont="1" applyFill="1" applyBorder="1" applyAlignment="1">
      <alignment horizontal="left" vertical="justify" wrapText="1"/>
    </xf>
    <xf numFmtId="0" fontId="6" fillId="2" borderId="1" xfId="0" applyFont="1" applyFill="1" applyBorder="1" applyAlignment="1">
      <alignment horizontal="center" vertical="center" wrapText="1"/>
    </xf>
    <xf numFmtId="0" fontId="6" fillId="42" borderId="1" xfId="57" applyFont="1" applyFill="1" applyBorder="1" applyAlignment="1">
      <alignment horizontal="left" vertical="top" wrapText="1"/>
    </xf>
    <xf numFmtId="0" fontId="32" fillId="2" borderId="3" xfId="1308" applyFont="1" applyFill="1" applyBorder="1" applyAlignment="1">
      <alignment horizontal="center" vertical="center" wrapText="1"/>
    </xf>
    <xf numFmtId="0" fontId="27" fillId="19" borderId="9" xfId="0" applyFont="1" applyFill="1" applyBorder="1" applyAlignment="1">
      <alignment horizontal="center" vertical="center" textRotation="90" wrapText="1"/>
    </xf>
    <xf numFmtId="0" fontId="27" fillId="0" borderId="1" xfId="0" applyFont="1" applyFill="1" applyBorder="1" applyAlignment="1">
      <alignment horizontal="center" vertical="center" wrapText="1"/>
    </xf>
    <xf numFmtId="0" fontId="6" fillId="18"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19" borderId="1" xfId="0" applyFont="1" applyFill="1" applyBorder="1" applyAlignment="1">
      <alignment horizontal="center" vertical="center" wrapText="1"/>
    </xf>
    <xf numFmtId="0" fontId="27" fillId="23" borderId="3"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7" xfId="0" applyNumberFormat="1" applyFont="1" applyFill="1" applyBorder="1" applyAlignment="1">
      <alignment horizontal="justify" vertical="top" wrapText="1"/>
    </xf>
    <xf numFmtId="179" fontId="27" fillId="11" borderId="1" xfId="9" applyNumberFormat="1" applyFont="1" applyFill="1" applyBorder="1" applyAlignment="1">
      <alignment vertical="center" wrapText="1"/>
    </xf>
    <xf numFmtId="0" fontId="27" fillId="0" borderId="4" xfId="0" applyFont="1" applyFill="1" applyBorder="1" applyAlignment="1">
      <alignment horizontal="center" vertical="center" wrapText="1"/>
    </xf>
    <xf numFmtId="0" fontId="27" fillId="14" borderId="16" xfId="0" applyFont="1" applyFill="1" applyBorder="1" applyAlignment="1">
      <alignment horizontal="center" vertical="center" wrapText="1"/>
    </xf>
    <xf numFmtId="44" fontId="27" fillId="2" borderId="3" xfId="0" applyNumberFormat="1" applyFont="1" applyFill="1" applyBorder="1" applyAlignment="1">
      <alignment horizontal="left" vertical="center" wrapText="1"/>
    </xf>
    <xf numFmtId="0" fontId="28" fillId="2" borderId="3" xfId="1308" applyFill="1" applyBorder="1" applyAlignment="1">
      <alignment horizontal="left" vertical="center" wrapText="1"/>
    </xf>
    <xf numFmtId="14" fontId="27" fillId="2" borderId="1" xfId="9" applyNumberFormat="1" applyFont="1" applyFill="1" applyBorder="1" applyAlignment="1">
      <alignment vertical="center" wrapText="1"/>
    </xf>
    <xf numFmtId="14" fontId="27" fillId="2" borderId="1" xfId="0" applyNumberFormat="1" applyFont="1" applyFill="1" applyBorder="1" applyAlignment="1"/>
    <xf numFmtId="179" fontId="27" fillId="2" borderId="4" xfId="9" applyNumberFormat="1" applyFont="1" applyFill="1" applyBorder="1" applyAlignment="1">
      <alignment horizontal="left" vertical="center" wrapText="1"/>
    </xf>
    <xf numFmtId="0" fontId="26" fillId="23" borderId="1" xfId="0" applyFont="1" applyFill="1" applyBorder="1" applyAlignment="1">
      <alignment horizontal="center" vertical="center" wrapText="1"/>
    </xf>
    <xf numFmtId="179" fontId="26" fillId="23" borderId="1" xfId="9" applyNumberFormat="1" applyFont="1" applyFill="1" applyBorder="1" applyAlignment="1">
      <alignment horizontal="right" vertical="center" wrapText="1"/>
    </xf>
    <xf numFmtId="179" fontId="26" fillId="23" borderId="4" xfId="9" applyNumberFormat="1" applyFont="1" applyFill="1" applyBorder="1" applyAlignment="1">
      <alignment horizontal="right" vertical="center" wrapText="1"/>
    </xf>
    <xf numFmtId="0" fontId="26" fillId="20" borderId="1" xfId="0" applyFont="1" applyFill="1" applyBorder="1" applyAlignment="1">
      <alignment vertical="center" wrapText="1"/>
    </xf>
    <xf numFmtId="173" fontId="6" fillId="2" borderId="1" xfId="2" applyNumberFormat="1" applyFont="1" applyFill="1" applyBorder="1" applyAlignment="1">
      <alignment horizontal="center" vertical="center" wrapText="1" readingOrder="1"/>
    </xf>
    <xf numFmtId="0" fontId="6" fillId="2" borderId="1" xfId="0" applyFont="1" applyFill="1" applyBorder="1" applyAlignment="1">
      <alignment horizontal="center" vertical="center" wrapText="1"/>
    </xf>
    <xf numFmtId="0" fontId="27" fillId="19" borderId="9" xfId="0" applyFont="1" applyFill="1" applyBorder="1" applyAlignment="1">
      <alignment horizontal="center" vertical="center" textRotation="90" wrapText="1"/>
    </xf>
    <xf numFmtId="0" fontId="2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9" fillId="0" borderId="1" xfId="0" applyFont="1" applyFill="1" applyBorder="1" applyAlignment="1">
      <alignment vertical="center" wrapText="1"/>
    </xf>
    <xf numFmtId="173" fontId="6" fillId="0" borderId="1" xfId="2" applyNumberFormat="1" applyFont="1" applyFill="1" applyBorder="1" applyAlignment="1">
      <alignment horizontal="center" vertical="center" wrapText="1" readingOrder="1"/>
    </xf>
    <xf numFmtId="173" fontId="28" fillId="0" borderId="1" xfId="1308" applyNumberFormat="1" applyFill="1" applyBorder="1" applyAlignment="1">
      <alignment horizontal="center" vertical="center" wrapText="1" readingOrder="1"/>
    </xf>
    <xf numFmtId="179" fontId="56" fillId="0" borderId="0" xfId="0" applyNumberFormat="1" applyFont="1" applyAlignment="1"/>
    <xf numFmtId="0" fontId="56" fillId="0" borderId="0" xfId="0" applyFont="1" applyAlignment="1"/>
    <xf numFmtId="0" fontId="6" fillId="18" borderId="1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18" borderId="17" xfId="0" applyFont="1" applyFill="1" applyBorder="1" applyAlignment="1">
      <alignment horizontal="center" vertical="center" wrapText="1"/>
    </xf>
    <xf numFmtId="0" fontId="6" fillId="34" borderId="5" xfId="0" applyFont="1" applyFill="1" applyBorder="1" applyAlignment="1">
      <alignment horizontal="center" vertical="center" wrapText="1"/>
    </xf>
    <xf numFmtId="0" fontId="6" fillId="18" borderId="5" xfId="0" applyFont="1" applyFill="1" applyBorder="1" applyAlignment="1">
      <alignment horizontal="center" vertical="center" wrapText="1"/>
    </xf>
    <xf numFmtId="179" fontId="6" fillId="10" borderId="1" xfId="9" applyNumberFormat="1" applyFont="1" applyFill="1" applyBorder="1" applyAlignment="1">
      <alignment horizontal="left" vertical="center" wrapText="1"/>
    </xf>
    <xf numFmtId="0" fontId="27"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2" borderId="2" xfId="0" applyFont="1" applyFill="1" applyBorder="1" applyAlignment="1">
      <alignment horizontal="justify" vertical="justify" wrapText="1"/>
    </xf>
    <xf numFmtId="0" fontId="27" fillId="0" borderId="1"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7" xfId="0" applyFont="1" applyFill="1" applyBorder="1" applyAlignment="1">
      <alignment horizontal="left" vertical="center" wrapText="1"/>
    </xf>
    <xf numFmtId="0" fontId="6" fillId="2" borderId="17" xfId="0" applyFont="1" applyFill="1" applyBorder="1" applyAlignment="1">
      <alignment horizontal="center" vertical="center" wrapText="1"/>
    </xf>
    <xf numFmtId="17" fontId="6" fillId="2" borderId="17" xfId="0" applyNumberFormat="1" applyFont="1" applyFill="1" applyBorder="1" applyAlignment="1">
      <alignment horizontal="center" vertical="center" wrapText="1"/>
    </xf>
    <xf numFmtId="180" fontId="6" fillId="2" borderId="17" xfId="0" applyNumberFormat="1" applyFont="1" applyFill="1" applyBorder="1" applyAlignment="1">
      <alignment horizontal="center" vertical="center" wrapText="1"/>
    </xf>
    <xf numFmtId="1" fontId="29" fillId="2" borderId="17" xfId="0" applyNumberFormat="1" applyFont="1" applyFill="1" applyBorder="1" applyAlignment="1">
      <alignment horizontal="center" vertical="center" wrapText="1"/>
    </xf>
    <xf numFmtId="179" fontId="13" fillId="10" borderId="1" xfId="9" applyNumberFormat="1" applyFont="1" applyFill="1" applyBorder="1" applyAlignment="1">
      <alignment horizontal="left" vertical="center"/>
    </xf>
    <xf numFmtId="179" fontId="13" fillId="10" borderId="16" xfId="9" applyNumberFormat="1" applyFont="1" applyFill="1" applyBorder="1" applyAlignment="1">
      <alignment vertical="center" wrapText="1"/>
    </xf>
    <xf numFmtId="179" fontId="13" fillId="10" borderId="1" xfId="9" applyNumberFormat="1" applyFont="1" applyFill="1" applyBorder="1" applyAlignment="1">
      <alignment vertical="center" wrapText="1"/>
    </xf>
    <xf numFmtId="0" fontId="28" fillId="2" borderId="0" xfId="1308" applyFill="1" applyBorder="1" applyAlignment="1">
      <alignment vertical="center" wrapText="1"/>
    </xf>
    <xf numFmtId="172" fontId="6" fillId="2" borderId="17" xfId="0" applyNumberFormat="1" applyFont="1" applyFill="1" applyBorder="1" applyAlignment="1">
      <alignment horizontal="center" vertical="center" wrapText="1"/>
    </xf>
    <xf numFmtId="0" fontId="6" fillId="2" borderId="8" xfId="0" applyFont="1" applyFill="1" applyBorder="1" applyAlignment="1">
      <alignment horizontal="center" vertical="center" wrapText="1"/>
    </xf>
    <xf numFmtId="179" fontId="6" fillId="11" borderId="1" xfId="9"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57" fillId="0" borderId="0" xfId="0" applyFont="1"/>
    <xf numFmtId="179" fontId="57" fillId="0" borderId="0" xfId="0" applyNumberFormat="1" applyFont="1"/>
    <xf numFmtId="179" fontId="52" fillId="2" borderId="0" xfId="0" applyNumberFormat="1" applyFont="1" applyFill="1" applyAlignment="1"/>
    <xf numFmtId="179" fontId="5" fillId="41" borderId="1" xfId="9" applyNumberFormat="1" applyFont="1" applyFill="1" applyBorder="1" applyAlignment="1">
      <alignment horizontal="center" vertical="center" wrapText="1"/>
    </xf>
    <xf numFmtId="171" fontId="58" fillId="0" borderId="0" xfId="2" applyNumberFormat="1" applyFont="1"/>
    <xf numFmtId="0" fontId="41" fillId="0" borderId="1" xfId="0" applyFont="1" applyBorder="1" applyAlignment="1">
      <alignment horizontal="center" vertical="center" wrapText="1"/>
    </xf>
    <xf numFmtId="176" fontId="0" fillId="0" borderId="1" xfId="3847" applyNumberFormat="1" applyFont="1" applyBorder="1" applyAlignment="1">
      <alignment horizontal="center" wrapText="1"/>
    </xf>
    <xf numFmtId="176" fontId="41" fillId="0" borderId="1" xfId="3847" applyNumberFormat="1" applyFont="1" applyBorder="1" applyAlignment="1">
      <alignment horizontal="center" wrapText="1"/>
    </xf>
    <xf numFmtId="176" fontId="4" fillId="0" borderId="1" xfId="3847" applyNumberFormat="1" applyBorder="1" applyAlignment="1">
      <alignment horizont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170" fontId="4" fillId="0" borderId="0" xfId="2"/>
    <xf numFmtId="184" fontId="4" fillId="0" borderId="0" xfId="2" applyNumberFormat="1"/>
    <xf numFmtId="179" fontId="33" fillId="10" borderId="0" xfId="0" applyNumberFormat="1" applyFont="1" applyFill="1"/>
    <xf numFmtId="0" fontId="6" fillId="2" borderId="1" xfId="0" applyFont="1" applyFill="1" applyBorder="1" applyAlignment="1">
      <alignment horizontal="center" vertical="center" wrapText="1"/>
    </xf>
    <xf numFmtId="179" fontId="36" fillId="0" borderId="0" xfId="0" applyNumberFormat="1" applyFont="1" applyAlignment="1"/>
    <xf numFmtId="0" fontId="27" fillId="11" borderId="1" xfId="0" applyFont="1" applyFill="1" applyBorder="1" applyAlignment="1">
      <alignment horizontal="center" vertical="center" wrapText="1"/>
    </xf>
    <xf numFmtId="1" fontId="27" fillId="11" borderId="1" xfId="0" applyNumberFormat="1" applyFont="1" applyFill="1" applyBorder="1" applyAlignment="1">
      <alignment horizontal="center" vertical="center" wrapText="1"/>
    </xf>
    <xf numFmtId="0" fontId="6" fillId="11" borderId="1" xfId="0" applyFont="1" applyFill="1" applyBorder="1" applyAlignment="1">
      <alignment horizontal="center" vertical="center" wrapText="1"/>
    </xf>
    <xf numFmtId="0" fontId="8" fillId="45" borderId="1" xfId="0" applyFont="1" applyFill="1" applyBorder="1" applyAlignment="1">
      <alignment horizontal="center" vertical="center" wrapText="1"/>
    </xf>
    <xf numFmtId="0" fontId="27" fillId="11" borderId="3" xfId="0" applyFont="1" applyFill="1" applyBorder="1" applyAlignment="1">
      <alignment horizontal="center" vertical="center" wrapText="1"/>
    </xf>
    <xf numFmtId="1" fontId="27" fillId="11" borderId="3" xfId="0" applyNumberFormat="1" applyFont="1" applyFill="1" applyBorder="1" applyAlignment="1">
      <alignment horizontal="center" vertical="center" wrapText="1"/>
    </xf>
    <xf numFmtId="0" fontId="27" fillId="11" borderId="1" xfId="0" applyFont="1" applyFill="1" applyBorder="1" applyAlignment="1">
      <alignment horizontal="justify" vertical="justify" wrapText="1"/>
    </xf>
    <xf numFmtId="44" fontId="27" fillId="11" borderId="1" xfId="0" applyNumberFormat="1" applyFont="1" applyFill="1" applyBorder="1" applyAlignment="1">
      <alignment horizontal="left" vertical="center" wrapText="1"/>
    </xf>
    <xf numFmtId="0" fontId="28" fillId="11" borderId="3" xfId="1308" applyFill="1" applyBorder="1" applyAlignment="1">
      <alignment horizontal="center" vertical="center" wrapText="1"/>
    </xf>
    <xf numFmtId="179" fontId="27" fillId="11" borderId="3" xfId="664" applyNumberFormat="1" applyFont="1" applyFill="1" applyBorder="1" applyAlignment="1">
      <alignment horizontal="center" vertical="center" wrapText="1"/>
    </xf>
    <xf numFmtId="1" fontId="27" fillId="11" borderId="3" xfId="663" applyNumberFormat="1" applyFont="1" applyFill="1" applyBorder="1" applyAlignment="1">
      <alignment horizontal="center" vertical="center"/>
    </xf>
    <xf numFmtId="0" fontId="6" fillId="11" borderId="3" xfId="0" applyFont="1" applyFill="1" applyBorder="1" applyAlignment="1">
      <alignment horizontal="center" vertical="center" wrapText="1"/>
    </xf>
    <xf numFmtId="0" fontId="8" fillId="45" borderId="3" xfId="0" applyFont="1" applyFill="1" applyBorder="1" applyAlignment="1">
      <alignment horizontal="center" vertical="center" wrapText="1"/>
    </xf>
    <xf numFmtId="0" fontId="6" fillId="11" borderId="1" xfId="0" applyNumberFormat="1" applyFont="1" applyFill="1" applyBorder="1" applyAlignment="1">
      <alignment horizontal="justify" vertical="top" wrapText="1"/>
    </xf>
    <xf numFmtId="0" fontId="32" fillId="11" borderId="1" xfId="1308" applyFont="1" applyFill="1" applyBorder="1" applyAlignment="1">
      <alignment horizontal="center" vertical="center" wrapText="1"/>
    </xf>
    <xf numFmtId="0" fontId="33" fillId="11" borderId="1" xfId="0" applyFont="1" applyFill="1" applyBorder="1" applyAlignment="1">
      <alignment horizontal="center" vertical="center"/>
    </xf>
    <xf numFmtId="17" fontId="6" fillId="11" borderId="1" xfId="0" applyNumberFormat="1" applyFont="1" applyFill="1" applyBorder="1" applyAlignment="1">
      <alignment horizontal="center" vertical="center" wrapText="1"/>
    </xf>
    <xf numFmtId="180" fontId="6" fillId="11" borderId="1" xfId="0" applyNumberFormat="1" applyFont="1" applyFill="1" applyBorder="1" applyAlignment="1">
      <alignment horizontal="center" vertical="center" wrapText="1"/>
    </xf>
    <xf numFmtId="1" fontId="29" fillId="11" borderId="1" xfId="0" applyNumberFormat="1" applyFont="1" applyFill="1" applyBorder="1" applyAlignment="1">
      <alignment horizontal="center" vertical="center" wrapText="1"/>
    </xf>
    <xf numFmtId="179" fontId="12" fillId="11" borderId="1" xfId="9" applyNumberFormat="1" applyFont="1" applyFill="1" applyBorder="1" applyAlignment="1">
      <alignment horizontal="left" vertical="center"/>
    </xf>
    <xf numFmtId="179" fontId="13" fillId="41" borderId="1" xfId="9" applyNumberFormat="1" applyFont="1" applyFill="1" applyBorder="1" applyAlignment="1">
      <alignment horizontal="left" vertical="center"/>
    </xf>
    <xf numFmtId="0" fontId="6" fillId="11" borderId="1" xfId="57" applyFont="1" applyFill="1" applyBorder="1" applyAlignment="1">
      <alignment horizontal="left" vertical="top" wrapText="1"/>
    </xf>
    <xf numFmtId="0" fontId="6" fillId="11" borderId="1" xfId="0" applyFont="1" applyFill="1" applyBorder="1" applyAlignment="1">
      <alignment horizontal="left" vertical="center" wrapText="1"/>
    </xf>
    <xf numFmtId="0" fontId="25" fillId="11" borderId="3" xfId="0" applyFont="1" applyFill="1" applyBorder="1" applyAlignment="1">
      <alignment horizontal="left" vertical="center" wrapText="1"/>
    </xf>
    <xf numFmtId="0" fontId="32" fillId="11" borderId="3" xfId="1308" applyFont="1" applyFill="1" applyBorder="1" applyAlignment="1">
      <alignment vertical="center" wrapText="1"/>
    </xf>
    <xf numFmtId="0" fontId="33" fillId="11" borderId="1" xfId="0" applyFont="1" applyFill="1" applyBorder="1" applyAlignment="1">
      <alignment horizontal="center" vertical="center" wrapText="1"/>
    </xf>
    <xf numFmtId="0" fontId="6" fillId="11" borderId="1" xfId="0" applyFont="1" applyFill="1" applyBorder="1" applyAlignment="1">
      <alignment horizontal="center" vertical="center"/>
    </xf>
    <xf numFmtId="179" fontId="16" fillId="2" borderId="1" xfId="9" applyNumberFormat="1" applyFont="1" applyFill="1" applyBorder="1" applyAlignment="1">
      <alignment horizontal="center" vertical="center" wrapText="1"/>
    </xf>
    <xf numFmtId="179" fontId="12" fillId="2" borderId="1" xfId="9" applyNumberFormat="1" applyFont="1" applyFill="1" applyBorder="1" applyAlignment="1">
      <alignment horizontal="center" vertical="center" wrapText="1"/>
    </xf>
    <xf numFmtId="179" fontId="12" fillId="2" borderId="1" xfId="9" applyNumberFormat="1" applyFont="1" applyFill="1" applyBorder="1" applyAlignment="1">
      <alignment horizontal="left" vertical="center" wrapText="1"/>
    </xf>
    <xf numFmtId="179" fontId="12" fillId="10" borderId="1" xfId="9" applyNumberFormat="1" applyFont="1" applyFill="1" applyBorder="1" applyAlignment="1">
      <alignment horizontal="left" vertical="center" wrapText="1"/>
    </xf>
    <xf numFmtId="180" fontId="6" fillId="10" borderId="1" xfId="9" applyNumberFormat="1" applyFont="1" applyFill="1" applyBorder="1" applyAlignment="1">
      <alignment horizontal="center" vertical="center" wrapText="1"/>
    </xf>
    <xf numFmtId="180" fontId="27" fillId="2" borderId="1" xfId="9" applyNumberFormat="1" applyFont="1" applyFill="1" applyBorder="1" applyAlignment="1">
      <alignment horizontal="center" vertical="center" wrapText="1"/>
    </xf>
    <xf numFmtId="180" fontId="27" fillId="0" borderId="1" xfId="9" applyNumberFormat="1" applyFont="1" applyFill="1" applyBorder="1" applyAlignment="1">
      <alignment horizontal="center" vertical="center" wrapText="1"/>
    </xf>
    <xf numFmtId="14" fontId="27" fillId="0" borderId="1" xfId="9" applyNumberFormat="1" applyFont="1" applyFill="1" applyBorder="1" applyAlignment="1">
      <alignment horizontal="center" vertical="center" wrapText="1"/>
    </xf>
    <xf numFmtId="14" fontId="27" fillId="2" borderId="1" xfId="9"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71" fontId="59" fillId="0" borderId="0" xfId="2" applyNumberFormat="1" applyFont="1"/>
    <xf numFmtId="3" fontId="27" fillId="2" borderId="7" xfId="1158" applyNumberFormat="1" applyFont="1" applyFill="1" applyBorder="1" applyAlignment="1">
      <alignment horizontal="left" vertical="center" wrapText="1"/>
    </xf>
    <xf numFmtId="0" fontId="27" fillId="10" borderId="0" xfId="0" applyFont="1" applyFill="1" applyAlignment="1"/>
    <xf numFmtId="0" fontId="30" fillId="38" borderId="1" xfId="1310" applyFill="1" applyBorder="1" applyProtection="1">
      <alignment horizontal="center" vertical="center"/>
    </xf>
    <xf numFmtId="49" fontId="60" fillId="0" borderId="1" xfId="3848" applyBorder="1" applyProtection="1">
      <alignment horizontal="left" vertical="center"/>
    </xf>
    <xf numFmtId="49" fontId="60" fillId="0" borderId="1" xfId="3848" applyBorder="1" applyAlignment="1" applyProtection="1">
      <alignment horizontal="left" vertical="center" wrapText="1"/>
    </xf>
    <xf numFmtId="179" fontId="27" fillId="0" borderId="4" xfId="9" applyNumberFormat="1" applyFont="1" applyFill="1" applyBorder="1" applyAlignment="1">
      <alignment horizontal="left" vertical="center" wrapText="1"/>
    </xf>
    <xf numFmtId="0" fontId="27" fillId="2" borderId="0" xfId="0" applyFont="1" applyFill="1" applyAlignment="1"/>
    <xf numFmtId="3" fontId="27" fillId="2" borderId="4" xfId="1153" applyNumberFormat="1" applyFont="1" applyFill="1" applyBorder="1" applyAlignment="1">
      <alignment horizontal="left" vertical="center" wrapText="1"/>
    </xf>
    <xf numFmtId="3" fontId="27" fillId="2" borderId="7" xfId="1153" applyNumberFormat="1" applyFont="1" applyFill="1" applyBorder="1" applyAlignment="1">
      <alignment horizontal="left" vertical="center" wrapText="1"/>
    </xf>
    <xf numFmtId="0" fontId="27" fillId="0" borderId="4" xfId="0" applyFont="1" applyBorder="1" applyAlignment="1">
      <alignment horizontal="left"/>
    </xf>
    <xf numFmtId="3" fontId="27" fillId="2" borderId="4" xfId="1158" applyNumberFormat="1" applyFont="1" applyFill="1" applyBorder="1" applyAlignment="1">
      <alignment horizontal="left" vertical="center" wrapText="1"/>
    </xf>
    <xf numFmtId="171" fontId="27" fillId="0" borderId="0" xfId="0" applyNumberFormat="1" applyFont="1" applyAlignment="1"/>
    <xf numFmtId="0" fontId="27"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3" fontId="27" fillId="2" borderId="3" xfId="5" applyNumberFormat="1" applyFont="1" applyFill="1" applyBorder="1" applyAlignment="1">
      <alignment horizontal="center" vertical="center" wrapText="1"/>
    </xf>
    <xf numFmtId="3" fontId="27" fillId="2" borderId="3" xfId="664" applyNumberFormat="1" applyFont="1" applyFill="1" applyBorder="1" applyAlignment="1">
      <alignment horizontal="center" vertical="center" wrapText="1"/>
    </xf>
    <xf numFmtId="1" fontId="27" fillId="2" borderId="3" xfId="663" applyNumberFormat="1" applyFont="1" applyFill="1" applyBorder="1" applyAlignment="1">
      <alignment horizontal="right" vertical="center" wrapText="1"/>
    </xf>
    <xf numFmtId="169" fontId="27" fillId="2" borderId="1" xfId="0" applyNumberFormat="1" applyFont="1" applyFill="1" applyBorder="1" applyAlignment="1">
      <alignment horizontal="center" vertical="center" wrapText="1"/>
    </xf>
    <xf numFmtId="0" fontId="27" fillId="2" borderId="3" xfId="0" applyFont="1" applyFill="1" applyBorder="1" applyAlignment="1"/>
    <xf numFmtId="0" fontId="49" fillId="2" borderId="3" xfId="0" applyFont="1" applyFill="1" applyBorder="1" applyAlignment="1">
      <alignment vertical="center" wrapText="1"/>
    </xf>
    <xf numFmtId="173" fontId="6" fillId="2" borderId="3" xfId="2" applyNumberFormat="1" applyFont="1" applyFill="1" applyBorder="1" applyAlignment="1">
      <alignment horizontal="center" vertical="center" wrapText="1" readingOrder="1"/>
    </xf>
    <xf numFmtId="179" fontId="27" fillId="2" borderId="3" xfId="9" applyNumberFormat="1" applyFont="1" applyFill="1" applyBorder="1" applyAlignment="1">
      <alignment vertical="center" wrapText="1"/>
    </xf>
    <xf numFmtId="0" fontId="27" fillId="2" borderId="1" xfId="0" applyFont="1" applyFill="1" applyBorder="1" applyAlignment="1"/>
    <xf numFmtId="169" fontId="31" fillId="18" borderId="0" xfId="0" applyNumberFormat="1" applyFont="1" applyFill="1" applyBorder="1" applyAlignment="1">
      <alignment horizontal="left" vertical="top"/>
    </xf>
    <xf numFmtId="169" fontId="39" fillId="0" borderId="0" xfId="0" applyNumberFormat="1" applyFont="1" applyFill="1" applyBorder="1" applyAlignment="1">
      <alignment horizontal="center" wrapText="1"/>
    </xf>
    <xf numFmtId="0" fontId="40" fillId="0" borderId="0" xfId="0" applyFont="1" applyAlignment="1">
      <alignment horizontal="center" vertical="top"/>
    </xf>
    <xf numFmtId="179" fontId="48" fillId="18" borderId="0" xfId="9" applyNumberFormat="1" applyFont="1" applyFill="1" applyBorder="1" applyAlignment="1"/>
    <xf numFmtId="179" fontId="31" fillId="18" borderId="0" xfId="9" applyNumberFormat="1" applyFont="1" applyFill="1" applyBorder="1" applyAlignment="1">
      <alignment vertical="top"/>
    </xf>
    <xf numFmtId="0" fontId="39" fillId="2" borderId="0" xfId="0" applyFont="1" applyFill="1" applyBorder="1" applyAlignment="1"/>
    <xf numFmtId="0" fontId="6" fillId="2" borderId="1" xfId="0" applyNumberFormat="1" applyFont="1" applyFill="1" applyBorder="1" applyAlignment="1">
      <alignment horizontal="justify" vertical="top"/>
    </xf>
    <xf numFmtId="0" fontId="40" fillId="2" borderId="0" xfId="0" applyFont="1" applyFill="1" applyBorder="1" applyAlignment="1">
      <alignment vertical="center"/>
    </xf>
    <xf numFmtId="0" fontId="39" fillId="2" borderId="2" xfId="0" applyFont="1" applyFill="1" applyBorder="1" applyAlignment="1"/>
    <xf numFmtId="0" fontId="6" fillId="2" borderId="2" xfId="0" applyFont="1" applyFill="1" applyBorder="1" applyAlignment="1">
      <alignment vertical="center" wrapText="1"/>
    </xf>
    <xf numFmtId="0" fontId="25" fillId="2" borderId="1" xfId="0" applyFont="1" applyFill="1" applyBorder="1" applyAlignment="1">
      <alignment horizontal="left" vertical="center" wrapText="1"/>
    </xf>
    <xf numFmtId="173" fontId="12" fillId="11" borderId="7" xfId="3" applyNumberFormat="1" applyFont="1" applyFill="1" applyBorder="1" applyAlignment="1">
      <alignment horizontal="center" vertical="center" wrapText="1"/>
    </xf>
    <xf numFmtId="173" fontId="12" fillId="11" borderId="14" xfId="3" applyNumberFormat="1" applyFont="1" applyFill="1" applyBorder="1" applyAlignment="1">
      <alignment horizontal="center" vertical="center" wrapText="1"/>
    </xf>
    <xf numFmtId="173" fontId="12" fillId="11" borderId="3" xfId="3" applyNumberFormat="1" applyFont="1" applyFill="1" applyBorder="1" applyAlignment="1">
      <alignment horizontal="center" vertical="center"/>
    </xf>
    <xf numFmtId="173" fontId="12" fillId="11" borderId="9" xfId="3" applyNumberFormat="1" applyFont="1" applyFill="1" applyBorder="1" applyAlignment="1">
      <alignment horizontal="center" vertical="center"/>
    </xf>
    <xf numFmtId="0" fontId="6" fillId="2" borderId="3" xfId="6" applyFont="1" applyFill="1" applyBorder="1" applyAlignment="1">
      <alignment horizontal="center" vertical="center" wrapText="1"/>
    </xf>
    <xf numFmtId="0" fontId="6" fillId="2" borderId="9" xfId="6" applyFont="1" applyFill="1" applyBorder="1" applyAlignment="1">
      <alignment horizontal="center" vertical="center" wrapText="1"/>
    </xf>
    <xf numFmtId="0" fontId="6" fillId="2" borderId="10" xfId="6" applyFont="1" applyFill="1" applyBorder="1" applyAlignment="1">
      <alignment horizontal="center" vertical="center" wrapText="1"/>
    </xf>
    <xf numFmtId="0" fontId="12" fillId="0" borderId="3" xfId="6" applyFont="1" applyFill="1" applyBorder="1" applyAlignment="1">
      <alignment horizontal="center" vertical="center" wrapText="1"/>
    </xf>
    <xf numFmtId="0" fontId="12" fillId="0" borderId="9" xfId="6" applyFont="1" applyFill="1" applyBorder="1" applyAlignment="1">
      <alignment horizontal="center" vertical="center" wrapText="1"/>
    </xf>
    <xf numFmtId="0" fontId="12" fillId="0" borderId="10" xfId="6" applyFont="1" applyFill="1" applyBorder="1" applyAlignment="1">
      <alignment horizontal="center" vertical="center" wrapText="1"/>
    </xf>
    <xf numFmtId="173" fontId="13" fillId="14" borderId="9" xfId="3" applyNumberFormat="1" applyFont="1" applyFill="1" applyBorder="1" applyAlignment="1">
      <alignment horizontal="center" vertical="center" wrapText="1"/>
    </xf>
    <xf numFmtId="173" fontId="13" fillId="14" borderId="10" xfId="3" applyNumberFormat="1" applyFont="1" applyFill="1" applyBorder="1" applyAlignment="1">
      <alignment horizontal="center" vertical="center" wrapText="1"/>
    </xf>
    <xf numFmtId="0" fontId="6" fillId="11" borderId="3" xfId="6" applyFont="1" applyFill="1" applyBorder="1" applyAlignment="1">
      <alignment horizontal="center" vertical="center" wrapText="1"/>
    </xf>
    <xf numFmtId="0" fontId="6" fillId="11" borderId="10" xfId="6" applyFont="1" applyFill="1" applyBorder="1" applyAlignment="1">
      <alignment horizontal="center" vertical="center" wrapText="1"/>
    </xf>
    <xf numFmtId="177" fontId="5" fillId="11" borderId="3" xfId="6" applyNumberFormat="1" applyFont="1" applyFill="1" applyBorder="1" applyAlignment="1">
      <alignment horizontal="center" vertical="center" wrapText="1"/>
    </xf>
    <xf numFmtId="177" fontId="5" fillId="11" borderId="10" xfId="6" applyNumberFormat="1" applyFont="1" applyFill="1" applyBorder="1" applyAlignment="1">
      <alignment horizontal="center" vertical="center" wrapText="1"/>
    </xf>
    <xf numFmtId="0" fontId="12" fillId="10" borderId="3" xfId="6" applyFont="1" applyFill="1" applyBorder="1" applyAlignment="1">
      <alignment horizontal="center" vertical="center" wrapText="1"/>
    </xf>
    <xf numFmtId="0" fontId="12" fillId="10" borderId="10" xfId="6" applyFont="1" applyFill="1" applyBorder="1" applyAlignment="1">
      <alignment horizontal="center" vertical="center" wrapText="1"/>
    </xf>
    <xf numFmtId="0" fontId="13" fillId="10" borderId="1" xfId="6" applyFont="1" applyFill="1" applyBorder="1" applyAlignment="1">
      <alignment horizontal="center" vertical="center" wrapText="1"/>
    </xf>
    <xf numFmtId="173" fontId="8" fillId="10" borderId="4" xfId="3" applyNumberFormat="1" applyFont="1" applyFill="1" applyBorder="1" applyAlignment="1">
      <alignment horizontal="center" vertical="center" wrapText="1"/>
    </xf>
    <xf numFmtId="173" fontId="8" fillId="10" borderId="16" xfId="3" applyNumberFormat="1" applyFont="1" applyFill="1" applyBorder="1" applyAlignment="1">
      <alignment horizontal="center" vertical="center" wrapText="1"/>
    </xf>
    <xf numFmtId="173" fontId="8" fillId="10" borderId="5" xfId="3" applyNumberFormat="1" applyFont="1" applyFill="1" applyBorder="1" applyAlignment="1">
      <alignment horizontal="center" vertical="center" wrapText="1"/>
    </xf>
    <xf numFmtId="0" fontId="13" fillId="10" borderId="4" xfId="6" applyFont="1" applyFill="1" applyBorder="1" applyAlignment="1">
      <alignment horizontal="center" vertical="center" wrapText="1"/>
    </xf>
    <xf numFmtId="0" fontId="13" fillId="10" borderId="16" xfId="6" applyFont="1" applyFill="1" applyBorder="1" applyAlignment="1">
      <alignment horizontal="center" vertical="center" wrapText="1"/>
    </xf>
    <xf numFmtId="0" fontId="13" fillId="10" borderId="5" xfId="6" applyFont="1" applyFill="1" applyBorder="1" applyAlignment="1">
      <alignment horizontal="center" vertical="center" wrapText="1"/>
    </xf>
    <xf numFmtId="0" fontId="12" fillId="10" borderId="4" xfId="6" applyFont="1" applyFill="1" applyBorder="1" applyAlignment="1">
      <alignment horizontal="center" vertical="center" wrapText="1"/>
    </xf>
    <xf numFmtId="0" fontId="12" fillId="10" borderId="16" xfId="6" applyFont="1" applyFill="1" applyBorder="1" applyAlignment="1">
      <alignment horizontal="center" vertical="center" wrapText="1"/>
    </xf>
    <xf numFmtId="0" fontId="12" fillId="10" borderId="5" xfId="6" applyFont="1" applyFill="1" applyBorder="1" applyAlignment="1">
      <alignment horizontal="center" vertical="center" wrapText="1"/>
    </xf>
    <xf numFmtId="173" fontId="6" fillId="2" borderId="3" xfId="3" applyNumberFormat="1" applyFont="1" applyFill="1" applyBorder="1" applyAlignment="1">
      <alignment horizontal="center" vertical="center" wrapText="1"/>
    </xf>
    <xf numFmtId="173" fontId="6" fillId="2" borderId="10" xfId="3" applyNumberFormat="1" applyFont="1" applyFill="1" applyBorder="1" applyAlignment="1">
      <alignment horizontal="center" vertical="center" wrapText="1"/>
    </xf>
    <xf numFmtId="173" fontId="6" fillId="10" borderId="3" xfId="3" applyNumberFormat="1" applyFont="1" applyFill="1" applyBorder="1" applyAlignment="1">
      <alignment horizontal="center" vertical="center" wrapText="1"/>
    </xf>
    <xf numFmtId="173" fontId="6" fillId="10" borderId="10" xfId="3" applyNumberFormat="1" applyFont="1" applyFill="1" applyBorder="1" applyAlignment="1">
      <alignment horizontal="center" vertical="center" wrapText="1"/>
    </xf>
    <xf numFmtId="0" fontId="5" fillId="0" borderId="1" xfId="6" applyFont="1" applyFill="1" applyBorder="1" applyAlignment="1">
      <alignment horizontal="center" vertical="center" textRotation="90" wrapText="1"/>
    </xf>
    <xf numFmtId="0" fontId="13" fillId="7" borderId="1" xfId="6" applyFont="1" applyFill="1" applyBorder="1" applyAlignment="1">
      <alignment horizontal="center" vertical="center"/>
    </xf>
    <xf numFmtId="0" fontId="5" fillId="9" borderId="1" xfId="6" applyFont="1" applyFill="1" applyBorder="1" applyAlignment="1">
      <alignment horizontal="center" vertical="center" wrapText="1"/>
    </xf>
    <xf numFmtId="0" fontId="13" fillId="0" borderId="3" xfId="6" applyFont="1" applyBorder="1" applyAlignment="1">
      <alignment horizontal="center" vertical="center" textRotation="90" wrapText="1"/>
    </xf>
    <xf numFmtId="0" fontId="13" fillId="0" borderId="9" xfId="6" applyFont="1" applyBorder="1" applyAlignment="1">
      <alignment horizontal="center" vertical="center" textRotation="90" wrapText="1"/>
    </xf>
    <xf numFmtId="0" fontId="13" fillId="0" borderId="10" xfId="6" applyFont="1" applyBorder="1" applyAlignment="1">
      <alignment horizontal="center" vertical="center" textRotation="90" wrapText="1"/>
    </xf>
    <xf numFmtId="173" fontId="12" fillId="11" borderId="3" xfId="3" applyNumberFormat="1" applyFont="1" applyFill="1" applyBorder="1" applyAlignment="1">
      <alignment horizontal="center" vertical="center" wrapText="1"/>
    </xf>
    <xf numFmtId="173" fontId="12" fillId="11" borderId="10" xfId="3" applyNumberFormat="1" applyFont="1" applyFill="1" applyBorder="1" applyAlignment="1">
      <alignment horizontal="center" vertical="center" wrapText="1"/>
    </xf>
    <xf numFmtId="173" fontId="6" fillId="10" borderId="1" xfId="3" applyNumberFormat="1" applyFont="1" applyFill="1" applyBorder="1" applyAlignment="1">
      <alignment horizontal="center" vertical="center" textRotation="90" wrapText="1"/>
    </xf>
    <xf numFmtId="0" fontId="12" fillId="2" borderId="3" xfId="6" applyFont="1" applyFill="1" applyBorder="1" applyAlignment="1">
      <alignment horizontal="center" vertical="center" wrapText="1"/>
    </xf>
    <xf numFmtId="0" fontId="12" fillId="2" borderId="9" xfId="6" applyFont="1" applyFill="1" applyBorder="1" applyAlignment="1">
      <alignment horizontal="center" vertical="center" wrapText="1"/>
    </xf>
    <xf numFmtId="0" fontId="12" fillId="2" borderId="10" xfId="6" applyFont="1" applyFill="1" applyBorder="1" applyAlignment="1">
      <alignment horizontal="center" vertical="center" wrapText="1"/>
    </xf>
    <xf numFmtId="0" fontId="12" fillId="0" borderId="3" xfId="6" applyFont="1" applyBorder="1" applyAlignment="1">
      <alignment horizontal="center" vertical="center" wrapText="1"/>
    </xf>
    <xf numFmtId="0" fontId="12" fillId="0" borderId="9" xfId="6" applyFont="1" applyBorder="1" applyAlignment="1">
      <alignment horizontal="center" vertical="center" wrapText="1"/>
    </xf>
    <xf numFmtId="0" fontId="12" fillId="0" borderId="10" xfId="6" applyFont="1" applyBorder="1" applyAlignment="1">
      <alignment horizontal="center" vertical="center" wrapText="1"/>
    </xf>
    <xf numFmtId="0" fontId="13" fillId="0" borderId="9" xfId="6" applyFont="1" applyFill="1" applyBorder="1" applyAlignment="1">
      <alignment horizontal="center" vertical="center" textRotation="90"/>
    </xf>
    <xf numFmtId="0" fontId="13" fillId="0" borderId="10" xfId="6" applyFont="1" applyFill="1" applyBorder="1" applyAlignment="1">
      <alignment horizontal="center" vertical="center" textRotation="90"/>
    </xf>
    <xf numFmtId="0" fontId="13" fillId="0" borderId="1" xfId="6" applyFont="1" applyBorder="1" applyAlignment="1">
      <alignment horizontal="center" vertical="center" textRotation="90" wrapText="1"/>
    </xf>
    <xf numFmtId="0" fontId="5" fillId="0" borderId="9" xfId="6" applyFont="1" applyFill="1" applyBorder="1" applyAlignment="1">
      <alignment horizontal="center" vertical="center" textRotation="90" wrapText="1"/>
    </xf>
    <xf numFmtId="0" fontId="5" fillId="0" borderId="10" xfId="6" applyFont="1" applyFill="1" applyBorder="1" applyAlignment="1">
      <alignment horizontal="center" vertical="center" textRotation="90" wrapText="1"/>
    </xf>
    <xf numFmtId="0" fontId="13" fillId="2" borderId="9" xfId="6" applyFont="1" applyFill="1" applyBorder="1" applyAlignment="1">
      <alignment horizontal="center" vertical="center" textRotation="90" wrapText="1"/>
    </xf>
    <xf numFmtId="0" fontId="13" fillId="2" borderId="10" xfId="6" applyFont="1" applyFill="1" applyBorder="1" applyAlignment="1">
      <alignment horizontal="center" vertical="center" textRotation="90" wrapText="1"/>
    </xf>
    <xf numFmtId="0" fontId="22" fillId="15" borderId="3" xfId="6" applyFont="1" applyFill="1" applyBorder="1" applyAlignment="1">
      <alignment horizontal="center" vertical="center" textRotation="90"/>
    </xf>
    <xf numFmtId="0" fontId="22" fillId="15" borderId="9" xfId="6" applyFont="1" applyFill="1" applyBorder="1" applyAlignment="1">
      <alignment horizontal="center" vertical="center" textRotation="90"/>
    </xf>
    <xf numFmtId="0" fontId="22" fillId="15" borderId="10" xfId="6" applyFont="1" applyFill="1" applyBorder="1" applyAlignment="1">
      <alignment horizontal="center" vertical="center" textRotation="90"/>
    </xf>
    <xf numFmtId="0" fontId="13" fillId="0" borderId="1" xfId="6" applyFont="1" applyFill="1" applyBorder="1" applyAlignment="1">
      <alignment horizontal="center" vertical="center" textRotation="90"/>
    </xf>
    <xf numFmtId="173" fontId="5" fillId="0" borderId="10" xfId="3" applyNumberFormat="1" applyFont="1" applyFill="1" applyBorder="1" applyAlignment="1">
      <alignment horizontal="center" vertical="center" textRotation="90" wrapText="1"/>
    </xf>
    <xf numFmtId="173" fontId="5" fillId="0" borderId="1" xfId="3" applyNumberFormat="1" applyFont="1" applyFill="1" applyBorder="1" applyAlignment="1">
      <alignment horizontal="center" vertical="center" textRotation="90" wrapText="1"/>
    </xf>
    <xf numFmtId="0" fontId="5" fillId="7" borderId="4" xfId="6" applyFont="1" applyFill="1" applyBorder="1" applyAlignment="1">
      <alignment horizontal="center" vertical="center" wrapText="1"/>
    </xf>
    <xf numFmtId="0" fontId="5" fillId="7" borderId="16" xfId="6" applyFont="1" applyFill="1" applyBorder="1" applyAlignment="1">
      <alignment horizontal="center" vertical="center" wrapText="1"/>
    </xf>
    <xf numFmtId="0" fontId="5" fillId="7" borderId="5" xfId="6" applyFont="1" applyFill="1" applyBorder="1" applyAlignment="1">
      <alignment horizontal="center" vertical="center" wrapText="1"/>
    </xf>
    <xf numFmtId="0" fontId="22" fillId="16" borderId="1" xfId="6" applyFont="1" applyFill="1" applyBorder="1" applyAlignment="1">
      <alignment horizontal="center" vertical="center" textRotation="90"/>
    </xf>
    <xf numFmtId="173" fontId="5" fillId="2" borderId="3" xfId="3" applyNumberFormat="1" applyFont="1" applyFill="1" applyBorder="1" applyAlignment="1">
      <alignment horizontal="center" vertical="center" textRotation="90" wrapText="1"/>
    </xf>
    <xf numFmtId="173" fontId="5" fillId="2" borderId="9" xfId="3" applyNumberFormat="1" applyFont="1" applyFill="1" applyBorder="1" applyAlignment="1">
      <alignment horizontal="center" vertical="center" textRotation="90" wrapText="1"/>
    </xf>
    <xf numFmtId="173" fontId="5" fillId="2" borderId="10" xfId="3" applyNumberFormat="1" applyFont="1" applyFill="1" applyBorder="1" applyAlignment="1">
      <alignment horizontal="center" vertical="center" textRotation="90" wrapText="1"/>
    </xf>
    <xf numFmtId="0" fontId="12" fillId="2" borderId="1" xfId="6" applyFont="1" applyFill="1" applyBorder="1" applyAlignment="1">
      <alignment horizontal="center" vertical="center" wrapText="1"/>
    </xf>
    <xf numFmtId="0" fontId="6" fillId="2" borderId="1" xfId="6" applyFont="1" applyFill="1" applyBorder="1" applyAlignment="1">
      <alignment horizontal="center" vertical="center" wrapText="1"/>
    </xf>
    <xf numFmtId="0" fontId="13" fillId="10" borderId="14" xfId="6" applyFont="1" applyFill="1" applyBorder="1" applyAlignment="1">
      <alignment horizontal="center" vertical="center" wrapText="1"/>
    </xf>
    <xf numFmtId="0" fontId="13" fillId="10" borderId="17" xfId="6" applyFont="1" applyFill="1" applyBorder="1" applyAlignment="1">
      <alignment horizontal="center" vertical="center" wrapText="1"/>
    </xf>
    <xf numFmtId="0" fontId="13" fillId="10" borderId="8" xfId="6" applyFont="1" applyFill="1" applyBorder="1" applyAlignment="1">
      <alignment horizontal="center" vertical="center" wrapText="1"/>
    </xf>
    <xf numFmtId="173" fontId="5" fillId="9" borderId="4" xfId="3" applyNumberFormat="1" applyFont="1" applyFill="1" applyBorder="1" applyAlignment="1">
      <alignment horizontal="center" vertical="center" wrapText="1"/>
    </xf>
    <xf numFmtId="173" fontId="5" fillId="9" borderId="16" xfId="3" applyNumberFormat="1" applyFont="1" applyFill="1" applyBorder="1" applyAlignment="1">
      <alignment horizontal="center" vertical="center" wrapText="1"/>
    </xf>
    <xf numFmtId="173" fontId="5" fillId="9" borderId="5" xfId="3" applyNumberFormat="1" applyFont="1" applyFill="1" applyBorder="1" applyAlignment="1">
      <alignment horizontal="center" vertical="center" wrapText="1"/>
    </xf>
    <xf numFmtId="173" fontId="5" fillId="0" borderId="3" xfId="3" applyNumberFormat="1" applyFont="1" applyFill="1" applyBorder="1" applyAlignment="1">
      <alignment horizontal="center" vertical="center" textRotation="90" wrapText="1"/>
    </xf>
    <xf numFmtId="173" fontId="5" fillId="0" borderId="9" xfId="3" applyNumberFormat="1" applyFont="1" applyFill="1" applyBorder="1" applyAlignment="1">
      <alignment horizontal="center" vertical="center" textRotation="90" wrapText="1"/>
    </xf>
    <xf numFmtId="0" fontId="14" fillId="0" borderId="9" xfId="6" applyFont="1" applyBorder="1" applyAlignment="1">
      <alignment horizontal="center" vertical="center" textRotation="90" wrapText="1"/>
    </xf>
    <xf numFmtId="0" fontId="14" fillId="0" borderId="10" xfId="6" applyFont="1" applyBorder="1" applyAlignment="1">
      <alignment horizontal="center" vertical="center" textRotation="90" wrapText="1"/>
    </xf>
    <xf numFmtId="0" fontId="14" fillId="0" borderId="1" xfId="6" applyFont="1" applyBorder="1" applyAlignment="1">
      <alignment horizontal="center" vertical="center" textRotation="90" wrapText="1"/>
    </xf>
    <xf numFmtId="0" fontId="13" fillId="5" borderId="3" xfId="6" applyFont="1" applyFill="1" applyBorder="1" applyAlignment="1">
      <alignment horizontal="center" vertical="center" textRotation="90"/>
    </xf>
    <xf numFmtId="0" fontId="13" fillId="5" borderId="9" xfId="6" applyFont="1" applyFill="1" applyBorder="1" applyAlignment="1">
      <alignment horizontal="center" vertical="center" textRotation="90"/>
    </xf>
    <xf numFmtId="0" fontId="13" fillId="5" borderId="10" xfId="6" applyFont="1" applyFill="1" applyBorder="1" applyAlignment="1">
      <alignment horizontal="center" vertical="center" textRotation="90"/>
    </xf>
    <xf numFmtId="0" fontId="12" fillId="0" borderId="0" xfId="6" applyFont="1" applyFill="1" applyAlignment="1">
      <alignment horizontal="center" vertical="center"/>
    </xf>
    <xf numFmtId="166" fontId="5" fillId="2" borderId="18" xfId="6" applyNumberFormat="1" applyFont="1" applyFill="1" applyBorder="1" applyAlignment="1" applyProtection="1">
      <alignment horizontal="center" vertical="top" wrapText="1"/>
    </xf>
    <xf numFmtId="166" fontId="5" fillId="2" borderId="0" xfId="6" applyNumberFormat="1" applyFont="1" applyFill="1" applyBorder="1" applyAlignment="1" applyProtection="1">
      <alignment horizontal="center" vertical="top" wrapText="1"/>
    </xf>
    <xf numFmtId="173" fontId="5" fillId="9" borderId="4" xfId="3" applyNumberFormat="1" applyFont="1" applyFill="1" applyBorder="1" applyAlignment="1">
      <alignment horizontal="left" vertical="center" wrapText="1"/>
    </xf>
    <xf numFmtId="173" fontId="5" fillId="9" borderId="16" xfId="3" applyNumberFormat="1" applyFont="1" applyFill="1" applyBorder="1" applyAlignment="1">
      <alignment horizontal="left" vertical="center" wrapText="1"/>
    </xf>
    <xf numFmtId="173" fontId="5" fillId="9" borderId="5" xfId="3" applyNumberFormat="1" applyFont="1" applyFill="1" applyBorder="1" applyAlignment="1">
      <alignment horizontal="left" vertical="center" wrapText="1"/>
    </xf>
    <xf numFmtId="0" fontId="12" fillId="2" borderId="7" xfId="6" applyFont="1" applyFill="1" applyBorder="1" applyAlignment="1">
      <alignment horizontal="center" vertical="center" wrapText="1"/>
    </xf>
    <xf numFmtId="0" fontId="12" fillId="2" borderId="15" xfId="6" applyFont="1" applyFill="1" applyBorder="1" applyAlignment="1">
      <alignment horizontal="center" vertical="center" wrapText="1"/>
    </xf>
    <xf numFmtId="173" fontId="6" fillId="0" borderId="1" xfId="3" applyNumberFormat="1" applyFont="1" applyFill="1" applyBorder="1" applyAlignment="1">
      <alignment horizontal="center" vertical="center" wrapText="1"/>
    </xf>
    <xf numFmtId="0" fontId="5" fillId="9" borderId="4" xfId="6" applyFont="1" applyFill="1" applyBorder="1" applyAlignment="1">
      <alignment horizontal="left" vertical="center" wrapText="1"/>
    </xf>
    <xf numFmtId="0" fontId="5" fillId="9" borderId="16" xfId="6" applyFont="1" applyFill="1" applyBorder="1" applyAlignment="1">
      <alignment horizontal="left" vertical="center" wrapText="1"/>
    </xf>
    <xf numFmtId="0" fontId="5" fillId="9" borderId="5" xfId="6" applyFont="1" applyFill="1" applyBorder="1" applyAlignment="1">
      <alignment horizontal="left" vertical="center" wrapText="1"/>
    </xf>
    <xf numFmtId="172" fontId="13" fillId="3" borderId="1" xfId="5" applyNumberFormat="1" applyFont="1" applyFill="1" applyBorder="1" applyAlignment="1">
      <alignment horizontal="center" vertical="center"/>
    </xf>
    <xf numFmtId="0" fontId="13" fillId="3" borderId="1" xfId="6" applyFont="1" applyFill="1" applyBorder="1" applyAlignment="1">
      <alignment horizontal="center" vertical="center" wrapText="1"/>
    </xf>
    <xf numFmtId="0" fontId="13" fillId="7" borderId="7" xfId="6" applyFont="1" applyFill="1" applyBorder="1" applyAlignment="1">
      <alignment horizontal="center" vertical="center" wrapText="1"/>
    </xf>
    <xf numFmtId="0" fontId="13" fillId="7" borderId="2" xfId="6" applyFont="1" applyFill="1" applyBorder="1" applyAlignment="1">
      <alignment horizontal="center" vertical="center" wrapText="1"/>
    </xf>
    <xf numFmtId="0" fontId="13" fillId="7" borderId="6" xfId="6" applyFont="1" applyFill="1" applyBorder="1" applyAlignment="1">
      <alignment horizontal="center" vertical="center" wrapText="1"/>
    </xf>
    <xf numFmtId="0" fontId="13" fillId="6" borderId="1" xfId="6" applyFont="1" applyFill="1" applyBorder="1" applyAlignment="1">
      <alignment horizontal="center" vertical="center" wrapText="1"/>
    </xf>
    <xf numFmtId="0" fontId="12" fillId="0" borderId="6" xfId="6" applyFont="1" applyFill="1" applyBorder="1" applyAlignment="1">
      <alignment horizontal="center" vertical="center" wrapText="1"/>
    </xf>
    <xf numFmtId="0" fontId="12" fillId="0" borderId="11" xfId="6" applyFont="1" applyFill="1" applyBorder="1" applyAlignment="1">
      <alignment horizontal="center" vertical="center" wrapText="1"/>
    </xf>
    <xf numFmtId="0" fontId="12" fillId="0" borderId="8" xfId="6" applyFont="1" applyFill="1" applyBorder="1" applyAlignment="1">
      <alignment horizontal="center" vertical="center" wrapText="1"/>
    </xf>
    <xf numFmtId="0" fontId="13" fillId="0" borderId="9" xfId="6" applyFont="1" applyBorder="1" applyAlignment="1">
      <alignment horizontal="center" vertical="center" textRotation="90"/>
    </xf>
    <xf numFmtId="0" fontId="13" fillId="0" borderId="10" xfId="6" applyFont="1" applyBorder="1" applyAlignment="1">
      <alignment horizontal="center" vertical="center" textRotation="90"/>
    </xf>
    <xf numFmtId="0" fontId="5" fillId="0" borderId="3" xfId="6" applyFont="1" applyFill="1" applyBorder="1" applyAlignment="1">
      <alignment horizontal="center" vertical="center" textRotation="90" wrapText="1"/>
    </xf>
    <xf numFmtId="0" fontId="22" fillId="17" borderId="1" xfId="6" applyFont="1" applyFill="1" applyBorder="1" applyAlignment="1">
      <alignment horizontal="center" vertical="center" textRotation="90"/>
    </xf>
    <xf numFmtId="0" fontId="5" fillId="7" borderId="1" xfId="6" applyFont="1" applyFill="1" applyBorder="1" applyAlignment="1">
      <alignment horizontal="center" vertical="center" wrapText="1"/>
    </xf>
    <xf numFmtId="0" fontId="22" fillId="17" borderId="3" xfId="6" applyFont="1" applyFill="1" applyBorder="1" applyAlignment="1">
      <alignment horizontal="center" vertical="center" textRotation="90"/>
    </xf>
    <xf numFmtId="0" fontId="22" fillId="17" borderId="9" xfId="6" applyFont="1" applyFill="1" applyBorder="1" applyAlignment="1">
      <alignment horizontal="center" vertical="center" textRotation="90"/>
    </xf>
    <xf numFmtId="177" fontId="6" fillId="2" borderId="0" xfId="6" applyNumberFormat="1" applyFont="1" applyFill="1" applyBorder="1" applyAlignment="1">
      <alignment horizontal="left" vertical="center" wrapText="1"/>
    </xf>
    <xf numFmtId="0" fontId="13" fillId="6" borderId="0" xfId="6" applyFont="1" applyFill="1" applyBorder="1" applyAlignment="1">
      <alignment horizontal="center" vertical="center" wrapText="1"/>
    </xf>
    <xf numFmtId="173" fontId="6" fillId="10" borderId="1" xfId="3" applyNumberFormat="1" applyFont="1" applyFill="1" applyBorder="1" applyAlignment="1">
      <alignment horizontal="center" vertical="center" wrapText="1"/>
    </xf>
    <xf numFmtId="0" fontId="13" fillId="0" borderId="0" xfId="6" applyFont="1" applyBorder="1" applyAlignment="1">
      <alignment vertical="center" wrapText="1"/>
    </xf>
    <xf numFmtId="0" fontId="18" fillId="0" borderId="3" xfId="6" applyFont="1" applyBorder="1" applyAlignment="1">
      <alignment horizontal="center" vertical="center" wrapText="1"/>
    </xf>
    <xf numFmtId="0" fontId="18" fillId="0" borderId="10" xfId="6" applyFont="1" applyBorder="1" applyAlignment="1">
      <alignment horizontal="center" vertical="center" wrapText="1"/>
    </xf>
    <xf numFmtId="0" fontId="12" fillId="0" borderId="1" xfId="6" applyFont="1" applyFill="1" applyBorder="1" applyAlignment="1">
      <alignment horizontal="center" vertical="center" textRotation="90" wrapText="1"/>
    </xf>
    <xf numFmtId="0" fontId="13" fillId="0" borderId="1" xfId="6" applyFont="1" applyBorder="1" applyAlignment="1">
      <alignment horizontal="center" vertical="center" textRotation="90"/>
    </xf>
    <xf numFmtId="173" fontId="6" fillId="10" borderId="4" xfId="3" applyNumberFormat="1" applyFont="1" applyFill="1" applyBorder="1" applyAlignment="1">
      <alignment horizontal="center" vertical="center" wrapText="1"/>
    </xf>
    <xf numFmtId="173" fontId="6" fillId="10" borderId="16" xfId="3" applyNumberFormat="1" applyFont="1" applyFill="1" applyBorder="1" applyAlignment="1">
      <alignment horizontal="center" vertical="center" wrapText="1"/>
    </xf>
    <xf numFmtId="173" fontId="6" fillId="10" borderId="5" xfId="3" applyNumberFormat="1" applyFont="1" applyFill="1" applyBorder="1" applyAlignment="1">
      <alignment horizontal="center" vertical="center" wrapText="1"/>
    </xf>
    <xf numFmtId="173" fontId="12" fillId="11" borderId="1" xfId="3" applyNumberFormat="1" applyFont="1" applyFill="1" applyBorder="1" applyAlignment="1">
      <alignment horizontal="center" vertical="center" wrapText="1"/>
    </xf>
    <xf numFmtId="0" fontId="13" fillId="2" borderId="3" xfId="6" applyFont="1" applyFill="1" applyBorder="1" applyAlignment="1">
      <alignment horizontal="center" vertical="center" textRotation="90" wrapText="1"/>
    </xf>
    <xf numFmtId="0" fontId="13" fillId="2" borderId="1" xfId="6" applyFont="1" applyFill="1" applyBorder="1" applyAlignment="1">
      <alignment horizontal="center" vertical="center" textRotation="90" wrapText="1"/>
    </xf>
    <xf numFmtId="0" fontId="13" fillId="0" borderId="3" xfId="6" applyFont="1" applyFill="1" applyBorder="1" applyAlignment="1">
      <alignment horizontal="center" vertical="center" textRotation="90"/>
    </xf>
    <xf numFmtId="0" fontId="22" fillId="17" borderId="3" xfId="6" applyFont="1" applyFill="1" applyBorder="1" applyAlignment="1">
      <alignment horizontal="center" vertical="center" textRotation="90" wrapText="1"/>
    </xf>
    <xf numFmtId="0" fontId="22" fillId="17" borderId="9" xfId="6" applyFont="1" applyFill="1" applyBorder="1" applyAlignment="1">
      <alignment horizontal="center" vertical="center" textRotation="90" wrapText="1"/>
    </xf>
    <xf numFmtId="0" fontId="22" fillId="17" borderId="10" xfId="6" applyFont="1" applyFill="1" applyBorder="1" applyAlignment="1">
      <alignment horizontal="center" vertical="center" textRotation="90"/>
    </xf>
    <xf numFmtId="0" fontId="22" fillId="17" borderId="10" xfId="6" applyFont="1" applyFill="1" applyBorder="1" applyAlignment="1">
      <alignment horizontal="center" vertical="center" textRotation="90" wrapText="1"/>
    </xf>
    <xf numFmtId="173" fontId="12" fillId="10" borderId="1" xfId="3" applyNumberFormat="1" applyFont="1" applyFill="1" applyBorder="1" applyAlignment="1">
      <alignment horizontal="center" vertical="center" textRotation="90"/>
    </xf>
    <xf numFmtId="9" fontId="12" fillId="0" borderId="1" xfId="7" applyFont="1" applyFill="1" applyBorder="1" applyAlignment="1">
      <alignment vertical="center" wrapText="1"/>
    </xf>
    <xf numFmtId="172" fontId="12" fillId="0" borderId="1" xfId="5" applyNumberFormat="1" applyFont="1" applyFill="1" applyBorder="1" applyAlignment="1">
      <alignment vertical="center" wrapText="1"/>
    </xf>
    <xf numFmtId="0" fontId="13" fillId="7" borderId="4" xfId="6" applyFont="1" applyFill="1" applyBorder="1" applyAlignment="1">
      <alignment horizontal="center" vertical="center"/>
    </xf>
    <xf numFmtId="0" fontId="13" fillId="7" borderId="16" xfId="6" applyFont="1" applyFill="1" applyBorder="1" applyAlignment="1">
      <alignment horizontal="center" vertical="center"/>
    </xf>
    <xf numFmtId="0" fontId="13" fillId="7" borderId="5" xfId="6" applyFont="1" applyFill="1" applyBorder="1" applyAlignment="1">
      <alignment horizontal="center" vertical="center"/>
    </xf>
    <xf numFmtId="173" fontId="6" fillId="2" borderId="1" xfId="3" applyNumberFormat="1" applyFont="1" applyFill="1" applyBorder="1" applyAlignment="1">
      <alignment horizontal="center" vertical="center" wrapText="1"/>
    </xf>
    <xf numFmtId="0" fontId="21" fillId="2" borderId="3" xfId="6" applyFont="1" applyFill="1" applyBorder="1" applyAlignment="1">
      <alignment horizontal="center" vertical="center" wrapText="1"/>
    </xf>
    <xf numFmtId="0" fontId="21" fillId="2" borderId="9" xfId="6" applyFont="1" applyFill="1" applyBorder="1" applyAlignment="1">
      <alignment horizontal="center" vertical="center" wrapText="1"/>
    </xf>
    <xf numFmtId="0" fontId="21" fillId="2" borderId="10" xfId="6" applyFont="1" applyFill="1" applyBorder="1" applyAlignment="1">
      <alignment horizontal="center" vertical="center" wrapText="1"/>
    </xf>
    <xf numFmtId="173" fontId="6" fillId="10" borderId="1" xfId="3" applyNumberFormat="1" applyFont="1" applyFill="1" applyBorder="1" applyAlignment="1">
      <alignment vertical="center" textRotation="90" wrapText="1"/>
    </xf>
    <xf numFmtId="0" fontId="12" fillId="0" borderId="1" xfId="6" applyFont="1" applyFill="1" applyBorder="1" applyAlignment="1">
      <alignment vertical="center" textRotation="90" wrapText="1"/>
    </xf>
    <xf numFmtId="173" fontId="6" fillId="10" borderId="1" xfId="3" applyNumberFormat="1" applyFont="1" applyFill="1" applyBorder="1" applyAlignment="1">
      <alignment horizontal="left" vertical="center" textRotation="90" wrapText="1"/>
    </xf>
    <xf numFmtId="0" fontId="12" fillId="0" borderId="1" xfId="6" applyFont="1" applyFill="1" applyBorder="1" applyAlignment="1">
      <alignment horizontal="left" vertical="center" textRotation="90" wrapText="1"/>
    </xf>
    <xf numFmtId="169" fontId="48" fillId="0" borderId="0" xfId="0" applyNumberFormat="1" applyFont="1" applyFill="1" applyBorder="1" applyAlignment="1">
      <alignment horizontal="center"/>
    </xf>
    <xf numFmtId="169" fontId="31" fillId="0" borderId="0" xfId="0" applyNumberFormat="1" applyFont="1" applyFill="1" applyBorder="1" applyAlignment="1">
      <alignment horizontal="center" vertical="justify"/>
    </xf>
    <xf numFmtId="0" fontId="40" fillId="2" borderId="0" xfId="0" applyFont="1" applyFill="1" applyBorder="1" applyAlignment="1">
      <alignment horizontal="center" vertical="center" wrapText="1"/>
    </xf>
    <xf numFmtId="0" fontId="39" fillId="2" borderId="0" xfId="0" applyFont="1" applyFill="1" applyBorder="1" applyAlignment="1">
      <alignment horizontal="center"/>
    </xf>
    <xf numFmtId="177" fontId="39" fillId="11" borderId="4" xfId="0" applyNumberFormat="1" applyFont="1" applyFill="1" applyBorder="1" applyAlignment="1">
      <alignment horizontal="center" vertical="center" wrapText="1"/>
    </xf>
    <xf numFmtId="177" fontId="39" fillId="11" borderId="16" xfId="0" applyNumberFormat="1" applyFont="1" applyFill="1" applyBorder="1" applyAlignment="1">
      <alignment horizontal="center" vertical="center" wrapText="1"/>
    </xf>
    <xf numFmtId="177" fontId="39" fillId="11" borderId="5" xfId="0" applyNumberFormat="1" applyFont="1" applyFill="1" applyBorder="1" applyAlignment="1">
      <alignment horizontal="center" vertical="center" wrapText="1"/>
    </xf>
    <xf numFmtId="0" fontId="27" fillId="0" borderId="3" xfId="0" applyFont="1" applyFill="1" applyBorder="1" applyAlignment="1">
      <alignment horizontal="center" vertical="center" textRotation="90" wrapText="1"/>
    </xf>
    <xf numFmtId="0" fontId="27" fillId="0" borderId="9" xfId="0" applyFont="1" applyFill="1" applyBorder="1" applyAlignment="1">
      <alignment horizontal="center" vertical="center" textRotation="90" wrapText="1"/>
    </xf>
    <xf numFmtId="171" fontId="27" fillId="18" borderId="3" xfId="0" applyNumberFormat="1" applyFont="1" applyFill="1" applyBorder="1" applyAlignment="1">
      <alignment horizontal="center" vertical="center" textRotation="90" wrapText="1"/>
    </xf>
    <xf numFmtId="171" fontId="27" fillId="18" borderId="9" xfId="0" applyNumberFormat="1" applyFont="1" applyFill="1" applyBorder="1" applyAlignment="1">
      <alignment horizontal="center" vertical="center" textRotation="90" wrapText="1"/>
    </xf>
    <xf numFmtId="0" fontId="27" fillId="18" borderId="3" xfId="0" applyFont="1" applyFill="1" applyBorder="1" applyAlignment="1">
      <alignment horizontal="center" vertical="center" textRotation="90"/>
    </xf>
    <xf numFmtId="0" fontId="27" fillId="18" borderId="9" xfId="0" applyFont="1" applyFill="1" applyBorder="1" applyAlignment="1">
      <alignment horizontal="center" vertical="center" textRotation="90"/>
    </xf>
    <xf numFmtId="0" fontId="26" fillId="20" borderId="9" xfId="0" applyFont="1" applyFill="1" applyBorder="1" applyAlignment="1">
      <alignment horizontal="center" vertical="center" wrapText="1"/>
    </xf>
    <xf numFmtId="0" fontId="26" fillId="20" borderId="3" xfId="0" applyFont="1" applyFill="1" applyBorder="1" applyAlignment="1">
      <alignment horizontal="center" vertical="center" wrapText="1"/>
    </xf>
    <xf numFmtId="0" fontId="26" fillId="28" borderId="1" xfId="0" applyFont="1" applyFill="1" applyBorder="1" applyAlignment="1">
      <alignment horizontal="center" vertical="center"/>
    </xf>
    <xf numFmtId="173" fontId="27" fillId="10" borderId="3" xfId="2" applyNumberFormat="1" applyFont="1" applyFill="1" applyBorder="1" applyAlignment="1">
      <alignment horizontal="center" vertical="center" wrapText="1" readingOrder="1"/>
    </xf>
    <xf numFmtId="173" fontId="27" fillId="10" borderId="10" xfId="2" applyNumberFormat="1" applyFont="1" applyFill="1" applyBorder="1" applyAlignment="1">
      <alignment horizontal="center" vertical="center" wrapText="1" readingOrder="1"/>
    </xf>
    <xf numFmtId="0" fontId="26" fillId="20" borderId="1" xfId="0" applyFont="1" applyFill="1" applyBorder="1" applyAlignment="1">
      <alignment horizontal="center" vertical="center" wrapText="1"/>
    </xf>
    <xf numFmtId="0" fontId="27" fillId="19" borderId="1" xfId="0" applyFont="1" applyFill="1" applyBorder="1" applyAlignment="1">
      <alignment horizontal="center" vertical="center" wrapText="1"/>
    </xf>
    <xf numFmtId="0" fontId="27" fillId="19" borderId="3" xfId="0" applyFont="1" applyFill="1" applyBorder="1" applyAlignment="1">
      <alignment horizontal="center" vertical="center" textRotation="90" wrapText="1"/>
    </xf>
    <xf numFmtId="0" fontId="27" fillId="19" borderId="9" xfId="0" applyFont="1" applyFill="1" applyBorder="1" applyAlignment="1">
      <alignment horizontal="center" vertical="center" textRotation="90" wrapText="1"/>
    </xf>
    <xf numFmtId="0" fontId="27" fillId="19" borderId="10" xfId="0" applyFont="1" applyFill="1" applyBorder="1" applyAlignment="1">
      <alignment horizontal="center" vertical="center" textRotation="90" wrapText="1"/>
    </xf>
    <xf numFmtId="0" fontId="27" fillId="23" borderId="1" xfId="0" applyFont="1" applyFill="1" applyBorder="1" applyAlignment="1">
      <alignment horizontal="center" vertical="center" wrapText="1"/>
    </xf>
    <xf numFmtId="0" fontId="27" fillId="19" borderId="1" xfId="0" applyFont="1" applyFill="1" applyBorder="1" applyAlignment="1">
      <alignment horizontal="center" vertical="center" textRotation="90" wrapText="1"/>
    </xf>
    <xf numFmtId="173" fontId="26" fillId="10" borderId="1" xfId="2" applyNumberFormat="1" applyFont="1" applyFill="1" applyBorder="1" applyAlignment="1">
      <alignment horizontal="center" vertical="center" textRotation="90" wrapText="1" readingOrder="1"/>
    </xf>
    <xf numFmtId="179" fontId="27" fillId="10" borderId="4" xfId="9" applyNumberFormat="1" applyFont="1" applyFill="1" applyBorder="1" applyAlignment="1">
      <alignment horizontal="center" vertical="center" wrapText="1"/>
    </xf>
    <xf numFmtId="179" fontId="27" fillId="10" borderId="16" xfId="9" applyNumberFormat="1" applyFont="1" applyFill="1" applyBorder="1" applyAlignment="1">
      <alignment horizontal="center" vertical="center" wrapText="1"/>
    </xf>
    <xf numFmtId="179" fontId="27" fillId="10" borderId="5" xfId="9" applyNumberFormat="1" applyFont="1" applyFill="1" applyBorder="1" applyAlignment="1">
      <alignment horizontal="center" vertical="center" wrapText="1"/>
    </xf>
    <xf numFmtId="173" fontId="55" fillId="10" borderId="1" xfId="2" applyNumberFormat="1" applyFont="1" applyFill="1" applyBorder="1" applyAlignment="1">
      <alignment horizontal="center" vertical="center" wrapText="1" readingOrder="1"/>
    </xf>
    <xf numFmtId="173" fontId="55" fillId="10" borderId="4" xfId="2" applyNumberFormat="1" applyFont="1" applyFill="1" applyBorder="1" applyAlignment="1">
      <alignment horizontal="center" vertical="center" wrapText="1"/>
    </xf>
    <xf numFmtId="173" fontId="55" fillId="10" borderId="16" xfId="2" applyNumberFormat="1" applyFont="1" applyFill="1" applyBorder="1" applyAlignment="1">
      <alignment horizontal="center" vertical="center" wrapText="1"/>
    </xf>
    <xf numFmtId="0" fontId="5" fillId="33" borderId="1" xfId="0" applyFont="1" applyFill="1" applyBorder="1" applyAlignment="1">
      <alignment horizontal="center" vertical="center"/>
    </xf>
    <xf numFmtId="0" fontId="5" fillId="20" borderId="4" xfId="0" applyFont="1" applyFill="1" applyBorder="1" applyAlignment="1">
      <alignment horizontal="center" vertical="justify" wrapText="1"/>
    </xf>
    <xf numFmtId="0" fontId="5" fillId="20" borderId="16" xfId="0" applyFont="1" applyFill="1" applyBorder="1" applyAlignment="1">
      <alignment horizontal="center" vertical="justify" wrapText="1"/>
    </xf>
    <xf numFmtId="0" fontId="5" fillId="20" borderId="5" xfId="0" applyFont="1" applyFill="1" applyBorder="1" applyAlignment="1">
      <alignment horizontal="center" vertical="justify" wrapText="1"/>
    </xf>
    <xf numFmtId="173" fontId="27" fillId="10" borderId="4" xfId="2" applyNumberFormat="1" applyFont="1" applyFill="1" applyBorder="1" applyAlignment="1">
      <alignment horizontal="center" vertical="center" wrapText="1"/>
    </xf>
    <xf numFmtId="173" fontId="27" fillId="10" borderId="16" xfId="2" applyNumberFormat="1" applyFont="1" applyFill="1" applyBorder="1" applyAlignment="1">
      <alignment horizontal="center" vertical="center" wrapText="1"/>
    </xf>
    <xf numFmtId="0" fontId="27" fillId="0" borderId="4" xfId="0" applyFont="1" applyFill="1" applyBorder="1" applyAlignment="1">
      <alignment horizontal="left" vertical="center"/>
    </xf>
    <xf numFmtId="0" fontId="27" fillId="0" borderId="16" xfId="0" applyFont="1" applyFill="1" applyBorder="1" applyAlignment="1">
      <alignment horizontal="left" vertical="center"/>
    </xf>
    <xf numFmtId="0" fontId="27" fillId="0" borderId="5" xfId="0" applyFont="1" applyFill="1" applyBorder="1" applyAlignment="1">
      <alignment horizontal="left" vertical="center"/>
    </xf>
    <xf numFmtId="0" fontId="26" fillId="34" borderId="1" xfId="0" applyFont="1" applyFill="1" applyBorder="1" applyAlignment="1">
      <alignment horizontal="center" vertical="center"/>
    </xf>
    <xf numFmtId="0" fontId="26" fillId="0" borderId="4" xfId="0" applyFont="1" applyFill="1" applyBorder="1" applyAlignment="1">
      <alignment horizontal="left" vertical="center"/>
    </xf>
    <xf numFmtId="0" fontId="26" fillId="0" borderId="16" xfId="0" applyFont="1" applyFill="1" applyBorder="1" applyAlignment="1">
      <alignment horizontal="left" vertical="center"/>
    </xf>
    <xf numFmtId="0" fontId="26" fillId="0" borderId="5" xfId="0" applyFont="1" applyFill="1" applyBorder="1" applyAlignment="1">
      <alignment horizontal="left" vertical="center"/>
    </xf>
    <xf numFmtId="0" fontId="27" fillId="18" borderId="9" xfId="0" applyFont="1" applyFill="1" applyBorder="1" applyAlignment="1">
      <alignment horizontal="center" vertical="center" textRotation="90" wrapText="1"/>
    </xf>
    <xf numFmtId="0" fontId="27" fillId="18" borderId="10" xfId="0" applyFont="1" applyFill="1" applyBorder="1" applyAlignment="1">
      <alignment horizontal="center" vertical="center" textRotation="90" wrapText="1"/>
    </xf>
    <xf numFmtId="173" fontId="27" fillId="43" borderId="1" xfId="2" applyNumberFormat="1" applyFont="1" applyFill="1" applyBorder="1" applyAlignment="1">
      <alignment horizontal="center" vertical="center" wrapText="1" readingOrder="1"/>
    </xf>
    <xf numFmtId="0" fontId="27" fillId="18" borderId="3" xfId="0" applyFont="1" applyFill="1" applyBorder="1" applyAlignment="1">
      <alignment horizontal="center" vertical="center" textRotation="90" wrapText="1"/>
    </xf>
    <xf numFmtId="0" fontId="27" fillId="18" borderId="1" xfId="0" applyFont="1" applyFill="1" applyBorder="1" applyAlignment="1">
      <alignment horizontal="center" vertical="center" textRotation="90" wrapText="1"/>
    </xf>
    <xf numFmtId="0" fontId="27" fillId="23" borderId="1" xfId="0" applyFont="1" applyFill="1" applyBorder="1" applyAlignment="1">
      <alignment horizontal="center" vertical="center" textRotation="90" wrapText="1"/>
    </xf>
    <xf numFmtId="0" fontId="6" fillId="18" borderId="7" xfId="0" applyFont="1" applyFill="1" applyBorder="1" applyAlignment="1">
      <alignment horizontal="center" vertical="center" wrapText="1"/>
    </xf>
    <xf numFmtId="0" fontId="6" fillId="18" borderId="15" xfId="0" applyFont="1" applyFill="1" applyBorder="1" applyAlignment="1">
      <alignment horizontal="center" vertical="center" wrapText="1"/>
    </xf>
    <xf numFmtId="0" fontId="6" fillId="18" borderId="14" xfId="0" applyFont="1" applyFill="1" applyBorder="1" applyAlignment="1">
      <alignment horizontal="center" vertical="center" wrapText="1"/>
    </xf>
    <xf numFmtId="0" fontId="6" fillId="18" borderId="3" xfId="0" applyFont="1" applyFill="1" applyBorder="1" applyAlignment="1">
      <alignment horizontal="center" vertical="center" wrapText="1"/>
    </xf>
    <xf numFmtId="0" fontId="6" fillId="18" borderId="9" xfId="0" applyFont="1" applyFill="1" applyBorder="1" applyAlignment="1">
      <alignment horizontal="center" vertical="center" wrapText="1"/>
    </xf>
    <xf numFmtId="173" fontId="27" fillId="10" borderId="3" xfId="2" applyNumberFormat="1" applyFont="1" applyFill="1" applyBorder="1" applyAlignment="1">
      <alignment horizontal="center" vertical="center" wrapText="1"/>
    </xf>
    <xf numFmtId="173" fontId="27" fillId="10" borderId="10" xfId="2" applyNumberFormat="1" applyFont="1" applyFill="1" applyBorder="1" applyAlignment="1">
      <alignment horizontal="center" vertical="center" wrapText="1"/>
    </xf>
    <xf numFmtId="0" fontId="27" fillId="10" borderId="3" xfId="0" applyFont="1" applyFill="1" applyBorder="1" applyAlignment="1">
      <alignment horizontal="center" vertical="center"/>
    </xf>
    <xf numFmtId="0" fontId="27" fillId="10" borderId="10" xfId="0" applyFont="1" applyFill="1" applyBorder="1" applyAlignment="1">
      <alignment horizontal="center" vertical="center"/>
    </xf>
    <xf numFmtId="0" fontId="26" fillId="24" borderId="4" xfId="0" applyFont="1" applyFill="1" applyBorder="1" applyAlignment="1">
      <alignment horizontal="center" vertical="center" wrapText="1"/>
    </xf>
    <xf numFmtId="0" fontId="26" fillId="24" borderId="16" xfId="0" applyFont="1" applyFill="1" applyBorder="1" applyAlignment="1">
      <alignment horizontal="center" vertical="center" wrapText="1"/>
    </xf>
    <xf numFmtId="0" fontId="26" fillId="24" borderId="5" xfId="0" applyFont="1" applyFill="1" applyBorder="1" applyAlignment="1">
      <alignment horizontal="center" vertical="center" wrapText="1"/>
    </xf>
    <xf numFmtId="0" fontId="26" fillId="27" borderId="1" xfId="0" applyFont="1" applyFill="1" applyBorder="1" applyAlignment="1">
      <alignment horizontal="center" vertical="center" wrapText="1"/>
    </xf>
    <xf numFmtId="0" fontId="27" fillId="23" borderId="4" xfId="0" applyFont="1" applyFill="1" applyBorder="1" applyAlignment="1">
      <alignment horizontal="left" vertical="center" wrapText="1"/>
    </xf>
    <xf numFmtId="0" fontId="27" fillId="23" borderId="16" xfId="0" applyFont="1" applyFill="1" applyBorder="1" applyAlignment="1">
      <alignment horizontal="left" vertical="center" wrapText="1"/>
    </xf>
    <xf numFmtId="0" fontId="27" fillId="23" borderId="5" xfId="0" applyFont="1" applyFill="1" applyBorder="1" applyAlignment="1">
      <alignment horizontal="left" vertical="center" wrapText="1"/>
    </xf>
    <xf numFmtId="179" fontId="55" fillId="10" borderId="4" xfId="9" applyNumberFormat="1" applyFont="1" applyFill="1" applyBorder="1" applyAlignment="1">
      <alignment horizontal="center" vertical="center" wrapText="1"/>
    </xf>
    <xf numFmtId="179" fontId="55" fillId="10" borderId="16" xfId="9" applyNumberFormat="1" applyFont="1" applyFill="1" applyBorder="1" applyAlignment="1">
      <alignment horizontal="center" vertical="center" wrapText="1"/>
    </xf>
    <xf numFmtId="179" fontId="55" fillId="10" borderId="5" xfId="9" applyNumberFormat="1" applyFont="1" applyFill="1" applyBorder="1" applyAlignment="1">
      <alignment horizontal="center" vertical="center" wrapText="1"/>
    </xf>
    <xf numFmtId="173" fontId="55" fillId="10" borderId="3" xfId="2" applyNumberFormat="1" applyFont="1" applyFill="1" applyBorder="1" applyAlignment="1">
      <alignment horizontal="center" vertical="center" wrapText="1" readingOrder="1"/>
    </xf>
    <xf numFmtId="173" fontId="55" fillId="10" borderId="10" xfId="2" applyNumberFormat="1" applyFont="1" applyFill="1" applyBorder="1" applyAlignment="1">
      <alignment horizontal="center" vertical="center" wrapText="1" readingOrder="1"/>
    </xf>
    <xf numFmtId="173" fontId="55" fillId="43" borderId="1" xfId="2" applyNumberFormat="1" applyFont="1" applyFill="1" applyBorder="1" applyAlignment="1">
      <alignment horizontal="center" vertical="center" wrapText="1" readingOrder="1"/>
    </xf>
    <xf numFmtId="0" fontId="26" fillId="22" borderId="1" xfId="0" applyFont="1" applyFill="1" applyBorder="1" applyAlignment="1">
      <alignment horizontal="center" vertical="center" wrapText="1"/>
    </xf>
    <xf numFmtId="0" fontId="27" fillId="19" borderId="3" xfId="0" applyFont="1" applyFill="1" applyBorder="1" applyAlignment="1">
      <alignment horizontal="center" vertical="center" wrapText="1"/>
    </xf>
    <xf numFmtId="0" fontId="27" fillId="19" borderId="9" xfId="0" applyFont="1" applyFill="1" applyBorder="1" applyAlignment="1">
      <alignment horizontal="center" vertical="center" wrapText="1"/>
    </xf>
    <xf numFmtId="173" fontId="55" fillId="10" borderId="1" xfId="2" applyNumberFormat="1" applyFont="1" applyFill="1" applyBorder="1" applyAlignment="1">
      <alignment horizontal="center" vertical="center" textRotation="90" wrapText="1" readingOrder="1"/>
    </xf>
    <xf numFmtId="0" fontId="26" fillId="0" borderId="0" xfId="0" applyFont="1" applyBorder="1" applyAlignment="1">
      <alignment horizontal="center" vertical="center"/>
    </xf>
    <xf numFmtId="0" fontId="27" fillId="18" borderId="4" xfId="0" applyFont="1" applyFill="1" applyBorder="1" applyAlignment="1">
      <alignment horizontal="left" vertical="center"/>
    </xf>
    <xf numFmtId="0" fontId="27" fillId="18" borderId="16" xfId="0" applyFont="1" applyFill="1" applyBorder="1" applyAlignment="1">
      <alignment horizontal="left" vertical="center"/>
    </xf>
    <xf numFmtId="0" fontId="27" fillId="18" borderId="5" xfId="0" applyFont="1" applyFill="1" applyBorder="1" applyAlignment="1">
      <alignment horizontal="left" vertical="center"/>
    </xf>
    <xf numFmtId="0" fontId="26" fillId="18" borderId="4" xfId="0" applyFont="1" applyFill="1" applyBorder="1" applyAlignment="1">
      <alignment horizontal="left" vertical="center"/>
    </xf>
    <xf numFmtId="0" fontId="26" fillId="18" borderId="16" xfId="0" applyFont="1" applyFill="1" applyBorder="1" applyAlignment="1">
      <alignment horizontal="left" vertical="center"/>
    </xf>
    <xf numFmtId="0" fontId="26" fillId="18" borderId="5" xfId="0" applyFont="1" applyFill="1" applyBorder="1" applyAlignment="1">
      <alignment horizontal="left" vertical="center"/>
    </xf>
    <xf numFmtId="0" fontId="27" fillId="18" borderId="1" xfId="0" applyFont="1" applyFill="1" applyBorder="1" applyAlignment="1">
      <alignment horizontal="left" vertical="center"/>
    </xf>
    <xf numFmtId="0" fontId="27" fillId="0" borderId="1" xfId="0" applyFont="1" applyFill="1" applyBorder="1" applyAlignment="1">
      <alignment horizontal="center" vertical="center" wrapText="1"/>
    </xf>
    <xf numFmtId="0" fontId="27" fillId="19" borderId="10" xfId="0" applyFont="1" applyFill="1" applyBorder="1" applyAlignment="1">
      <alignment horizontal="center" vertical="center" wrapText="1"/>
    </xf>
    <xf numFmtId="0" fontId="27" fillId="18" borderId="1" xfId="0" applyFont="1" applyFill="1" applyBorder="1" applyAlignment="1">
      <alignment vertical="center"/>
    </xf>
    <xf numFmtId="0" fontId="27" fillId="18" borderId="14" xfId="0" applyFont="1" applyFill="1" applyBorder="1" applyAlignment="1">
      <alignment horizontal="left" vertical="center"/>
    </xf>
    <xf numFmtId="0" fontId="27" fillId="18" borderId="17" xfId="0" applyFont="1" applyFill="1" applyBorder="1" applyAlignment="1">
      <alignment horizontal="left" vertical="center"/>
    </xf>
    <xf numFmtId="0" fontId="27" fillId="18" borderId="8" xfId="0" applyFont="1" applyFill="1" applyBorder="1" applyAlignment="1">
      <alignment horizontal="left" vertical="center"/>
    </xf>
    <xf numFmtId="0" fontId="26" fillId="0" borderId="1" xfId="0" applyFont="1" applyBorder="1" applyAlignment="1">
      <alignment horizontal="center" vertical="center"/>
    </xf>
    <xf numFmtId="177" fontId="39" fillId="11" borderId="1" xfId="0" applyNumberFormat="1" applyFont="1" applyFill="1" applyBorder="1" applyAlignment="1">
      <alignment horizontal="center" vertical="center" wrapText="1"/>
    </xf>
    <xf numFmtId="0" fontId="26" fillId="20" borderId="4" xfId="0" applyFont="1" applyFill="1" applyBorder="1" applyAlignment="1">
      <alignment horizontal="center" vertical="center" wrapText="1"/>
    </xf>
    <xf numFmtId="0" fontId="26" fillId="20" borderId="16" xfId="0" applyFont="1" applyFill="1" applyBorder="1" applyAlignment="1">
      <alignment horizontal="center" vertical="center" wrapText="1"/>
    </xf>
    <xf numFmtId="0" fontId="26" fillId="20" borderId="5" xfId="0" applyFont="1" applyFill="1" applyBorder="1" applyAlignment="1">
      <alignment horizontal="center" vertical="center" wrapText="1"/>
    </xf>
    <xf numFmtId="0" fontId="26" fillId="22" borderId="4" xfId="0" applyFont="1" applyFill="1" applyBorder="1" applyAlignment="1">
      <alignment horizontal="center" vertical="center" wrapText="1"/>
    </xf>
    <xf numFmtId="0" fontId="26" fillId="22" borderId="16" xfId="0" applyFont="1" applyFill="1" applyBorder="1" applyAlignment="1">
      <alignment horizontal="center" vertical="center" wrapText="1"/>
    </xf>
    <xf numFmtId="0" fontId="26" fillId="22" borderId="5"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27" fillId="23" borderId="3" xfId="0" applyFont="1" applyFill="1" applyBorder="1" applyAlignment="1">
      <alignment horizontal="center" vertical="center" wrapText="1"/>
    </xf>
    <xf numFmtId="0" fontId="27" fillId="23" borderId="9" xfId="0" applyFont="1" applyFill="1" applyBorder="1" applyAlignment="1">
      <alignment horizontal="center" vertical="center" wrapText="1"/>
    </xf>
    <xf numFmtId="0" fontId="27" fillId="23" borderId="10" xfId="0" applyFont="1" applyFill="1" applyBorder="1" applyAlignment="1">
      <alignment horizontal="center" vertical="center" wrapText="1"/>
    </xf>
    <xf numFmtId="0" fontId="27" fillId="23" borderId="9" xfId="0" applyFont="1" applyFill="1" applyBorder="1" applyAlignment="1">
      <alignment horizontal="center" vertical="center" textRotation="90" wrapText="1"/>
    </xf>
    <xf numFmtId="0" fontId="27" fillId="23" borderId="10" xfId="0" applyFont="1" applyFill="1" applyBorder="1" applyAlignment="1">
      <alignment horizontal="center" vertical="center" textRotation="90" wrapText="1"/>
    </xf>
    <xf numFmtId="0" fontId="27" fillId="2" borderId="3"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27" fillId="18" borderId="9" xfId="0" applyFont="1" applyFill="1" applyBorder="1" applyAlignment="1">
      <alignment horizontal="center" vertical="center" wrapText="1"/>
    </xf>
    <xf numFmtId="0" fontId="27" fillId="18" borderId="15"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5" fillId="20" borderId="17" xfId="0" applyFont="1" applyFill="1" applyBorder="1" applyAlignment="1">
      <alignment horizontal="center" vertical="justify" wrapText="1"/>
    </xf>
    <xf numFmtId="0" fontId="5" fillId="20" borderId="8" xfId="0" applyFont="1" applyFill="1" applyBorder="1" applyAlignment="1">
      <alignment horizontal="center" vertical="justify" wrapText="1"/>
    </xf>
    <xf numFmtId="0" fontId="5" fillId="31" borderId="4" xfId="0" applyFont="1" applyFill="1" applyBorder="1" applyAlignment="1">
      <alignment horizontal="center" vertical="center" wrapText="1"/>
    </xf>
    <xf numFmtId="0" fontId="5" fillId="31" borderId="16" xfId="0" applyFont="1" applyFill="1" applyBorder="1" applyAlignment="1">
      <alignment horizontal="center" vertical="center" wrapText="1"/>
    </xf>
    <xf numFmtId="0" fontId="5" fillId="31" borderId="5" xfId="0" applyFont="1" applyFill="1" applyBorder="1" applyAlignment="1">
      <alignment horizontal="center" vertical="center" wrapText="1"/>
    </xf>
    <xf numFmtId="0" fontId="5" fillId="28" borderId="4" xfId="0" applyFont="1" applyFill="1" applyBorder="1" applyAlignment="1">
      <alignment horizontal="center" vertical="center"/>
    </xf>
    <xf numFmtId="0" fontId="5" fillId="28" borderId="16" xfId="0" applyFont="1" applyFill="1" applyBorder="1" applyAlignment="1">
      <alignment horizontal="center" vertical="center"/>
    </xf>
    <xf numFmtId="0" fontId="5" fillId="28" borderId="5"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4" xfId="0" applyFont="1" applyFill="1" applyBorder="1" applyAlignment="1">
      <alignment horizontal="left" vertical="center"/>
    </xf>
    <xf numFmtId="173" fontId="27" fillId="10" borderId="1" xfId="2" applyNumberFormat="1" applyFont="1" applyFill="1" applyBorder="1" applyAlignment="1">
      <alignment horizontal="center" vertical="center" wrapText="1" readingOrder="1"/>
    </xf>
    <xf numFmtId="173" fontId="6" fillId="10" borderId="3" xfId="2" applyNumberFormat="1" applyFont="1" applyFill="1" applyBorder="1" applyAlignment="1">
      <alignment horizontal="center" vertical="center" wrapText="1" readingOrder="1"/>
    </xf>
    <xf numFmtId="173" fontId="6" fillId="10" borderId="10" xfId="2" applyNumberFormat="1" applyFont="1" applyFill="1" applyBorder="1" applyAlignment="1">
      <alignment horizontal="center" vertical="center" wrapText="1" readingOrder="1"/>
    </xf>
    <xf numFmtId="173" fontId="6" fillId="10" borderId="1" xfId="2" applyNumberFormat="1" applyFont="1" applyFill="1" applyBorder="1" applyAlignment="1">
      <alignment horizontal="center" vertical="center" wrapText="1" readingOrder="1"/>
    </xf>
    <xf numFmtId="0" fontId="13" fillId="0" borderId="1" xfId="0" applyFont="1" applyFill="1" applyBorder="1" applyAlignment="1">
      <alignment horizontal="left" vertical="center"/>
    </xf>
    <xf numFmtId="179" fontId="6" fillId="0" borderId="1" xfId="9" applyNumberFormat="1" applyFont="1" applyFill="1" applyBorder="1" applyAlignment="1">
      <alignment horizontal="left" vertical="center" wrapText="1"/>
    </xf>
    <xf numFmtId="179" fontId="6" fillId="0" borderId="4" xfId="9" applyNumberFormat="1" applyFont="1" applyFill="1" applyBorder="1" applyAlignment="1">
      <alignment horizontal="left" vertical="center" wrapText="1"/>
    </xf>
    <xf numFmtId="179" fontId="6" fillId="0" borderId="16" xfId="9" applyNumberFormat="1" applyFont="1" applyFill="1" applyBorder="1" applyAlignment="1">
      <alignment horizontal="left" vertical="center" wrapText="1"/>
    </xf>
    <xf numFmtId="179" fontId="6" fillId="0" borderId="5" xfId="9" applyNumberFormat="1" applyFont="1" applyFill="1" applyBorder="1" applyAlignment="1">
      <alignment horizontal="left" vertical="center" wrapText="1"/>
    </xf>
    <xf numFmtId="0" fontId="13" fillId="0" borderId="2" xfId="0" applyFont="1" applyFill="1" applyBorder="1" applyAlignment="1">
      <alignment horizontal="center" vertical="center" wrapText="1"/>
    </xf>
    <xf numFmtId="0" fontId="13" fillId="0" borderId="0" xfId="0" applyFont="1" applyFill="1" applyBorder="1" applyAlignment="1">
      <alignment horizontal="center" vertical="center" wrapText="1"/>
    </xf>
    <xf numFmtId="179" fontId="8" fillId="10" borderId="4" xfId="9" applyNumberFormat="1" applyFont="1" applyFill="1" applyBorder="1" applyAlignment="1">
      <alignment horizontal="center" vertical="center" wrapText="1"/>
    </xf>
    <xf numFmtId="179" fontId="8" fillId="10" borderId="16" xfId="9" applyNumberFormat="1" applyFont="1" applyFill="1" applyBorder="1" applyAlignment="1">
      <alignment horizontal="center" vertical="center" wrapText="1"/>
    </xf>
    <xf numFmtId="179" fontId="8" fillId="10" borderId="5" xfId="9"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3" fillId="10" borderId="14" xfId="0" applyFont="1" applyFill="1" applyBorder="1" applyAlignment="1">
      <alignment horizontal="center" vertical="center" wrapText="1"/>
    </xf>
    <xf numFmtId="0" fontId="13" fillId="10" borderId="17" xfId="0" applyFont="1" applyFill="1" applyBorder="1" applyAlignment="1">
      <alignment horizontal="center" vertical="center" wrapText="1"/>
    </xf>
    <xf numFmtId="0" fontId="13" fillId="10" borderId="8" xfId="0" applyFont="1" applyFill="1" applyBorder="1" applyAlignment="1">
      <alignment horizontal="center" vertical="center" wrapText="1"/>
    </xf>
    <xf numFmtId="173" fontId="5" fillId="8" borderId="1" xfId="2" applyNumberFormat="1" applyFont="1" applyFill="1" applyBorder="1" applyAlignment="1">
      <alignment horizontal="center" vertical="center" wrapText="1" readingOrder="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41" borderId="4" xfId="0" applyFont="1" applyFill="1" applyBorder="1" applyAlignment="1">
      <alignment horizontal="center" vertical="center" wrapText="1" readingOrder="1"/>
    </xf>
    <xf numFmtId="0" fontId="6" fillId="41" borderId="16" xfId="0" applyFont="1" applyFill="1" applyBorder="1" applyAlignment="1">
      <alignment horizontal="center" vertical="center" wrapText="1" readingOrder="1"/>
    </xf>
    <xf numFmtId="0" fontId="13" fillId="10" borderId="1" xfId="0" applyFont="1" applyFill="1" applyBorder="1" applyAlignment="1">
      <alignment horizontal="center" vertical="center" wrapText="1"/>
    </xf>
    <xf numFmtId="0" fontId="13" fillId="10" borderId="4" xfId="0" applyFont="1" applyFill="1" applyBorder="1" applyAlignment="1">
      <alignment horizontal="center" vertical="center" wrapText="1"/>
    </xf>
    <xf numFmtId="0" fontId="13" fillId="10" borderId="16" xfId="0" applyFont="1" applyFill="1" applyBorder="1" applyAlignment="1">
      <alignment horizontal="center" vertical="center" wrapText="1"/>
    </xf>
    <xf numFmtId="0" fontId="13" fillId="10" borderId="5" xfId="0" applyFont="1" applyFill="1" applyBorder="1" applyAlignment="1">
      <alignment horizontal="center" vertical="center" wrapText="1"/>
    </xf>
    <xf numFmtId="0" fontId="5" fillId="9" borderId="1" xfId="0" applyFont="1" applyFill="1" applyBorder="1" applyAlignment="1">
      <alignment horizontal="center" vertical="center" wrapText="1"/>
    </xf>
    <xf numFmtId="173" fontId="12" fillId="10" borderId="4" xfId="2" applyNumberFormat="1" applyFont="1" applyFill="1" applyBorder="1" applyAlignment="1">
      <alignment horizontal="center" vertical="center" wrapText="1"/>
    </xf>
    <xf numFmtId="173" fontId="12" fillId="10" borderId="16" xfId="2" applyNumberFormat="1" applyFont="1" applyFill="1" applyBorder="1" applyAlignment="1">
      <alignment horizontal="center" vertical="center" wrapText="1"/>
    </xf>
    <xf numFmtId="0" fontId="46" fillId="2" borderId="0" xfId="0" applyFont="1" applyFill="1" applyAlignment="1">
      <alignment horizontal="center" vertical="center"/>
    </xf>
    <xf numFmtId="0" fontId="31" fillId="2" borderId="0" xfId="0" applyFont="1" applyFill="1" applyBorder="1" applyAlignment="1">
      <alignment horizontal="center" vertical="center"/>
    </xf>
    <xf numFmtId="0" fontId="47" fillId="2" borderId="17" xfId="0" applyFont="1" applyFill="1" applyBorder="1" applyAlignment="1">
      <alignment horizontal="center" vertical="center"/>
    </xf>
    <xf numFmtId="0" fontId="31" fillId="2" borderId="2"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47" fillId="2" borderId="0" xfId="0" applyFont="1" applyFill="1" applyBorder="1" applyAlignment="1">
      <alignment horizontal="center" vertical="center"/>
    </xf>
    <xf numFmtId="0" fontId="6" fillId="42" borderId="4" xfId="0" applyFont="1" applyFill="1" applyBorder="1" applyAlignment="1">
      <alignment horizontal="center" vertical="center" wrapText="1"/>
    </xf>
    <xf numFmtId="0" fontId="6" fillId="42" borderId="16" xfId="0" applyFont="1" applyFill="1" applyBorder="1" applyAlignment="1">
      <alignment horizontal="center" vertical="center" wrapText="1"/>
    </xf>
    <xf numFmtId="0" fontId="6" fillId="39" borderId="1" xfId="0" applyFont="1" applyFill="1" applyBorder="1" applyAlignment="1">
      <alignment horizontal="center" vertical="center" wrapText="1"/>
    </xf>
    <xf numFmtId="0" fontId="39" fillId="2" borderId="2" xfId="0" applyFont="1" applyFill="1" applyBorder="1" applyAlignment="1">
      <alignment horizontal="center"/>
    </xf>
    <xf numFmtId="0" fontId="30" fillId="38" borderId="1" xfId="1310" applyFill="1" applyBorder="1" applyAlignment="1" applyProtection="1">
      <alignment horizontal="center" vertical="center" wrapText="1"/>
    </xf>
    <xf numFmtId="0" fontId="41" fillId="0" borderId="1" xfId="0" applyFont="1" applyBorder="1" applyAlignment="1">
      <alignment horizontal="center"/>
    </xf>
  </cellXfs>
  <cellStyles count="3849">
    <cellStyle name="BodyStyle" xfId="3848"/>
    <cellStyle name="Euro" xfId="1"/>
    <cellStyle name="HeaderStyle" xfId="1310"/>
    <cellStyle name="Hipervínculo" xfId="1308" builtinId="8"/>
    <cellStyle name="MainTitle" xfId="1309"/>
    <cellStyle name="Millares" xfId="2" builtinId="3"/>
    <cellStyle name="Millares 2" xfId="3"/>
    <cellStyle name="Millares 2 10" xfId="665"/>
    <cellStyle name="Millares 2 10 2" xfId="1313"/>
    <cellStyle name="Millares 2 10 3" xfId="1312"/>
    <cellStyle name="Millares 2 11" xfId="16"/>
    <cellStyle name="Millares 2 11 2" xfId="1314"/>
    <cellStyle name="Millares 2 12" xfId="1311"/>
    <cellStyle name="Millares 2 2" xfId="10"/>
    <cellStyle name="Millares 2 2 2" xfId="40"/>
    <cellStyle name="Millares 2 3" xfId="39"/>
    <cellStyle name="Millares 2 4" xfId="60"/>
    <cellStyle name="Millares 2 4 2" xfId="138"/>
    <cellStyle name="Millares 2 4 2 2" xfId="294"/>
    <cellStyle name="Millares 2 4 2 2 2" xfId="925"/>
    <cellStyle name="Millares 2 4 2 2 2 2" xfId="1319"/>
    <cellStyle name="Millares 2 4 2 2 2 3" xfId="1318"/>
    <cellStyle name="Millares 2 4 2 2 3" xfId="1320"/>
    <cellStyle name="Millares 2 4 2 2 4" xfId="1317"/>
    <cellStyle name="Millares 2 4 2 3" xfId="453"/>
    <cellStyle name="Millares 2 4 2 3 2" xfId="1083"/>
    <cellStyle name="Millares 2 4 2 3 2 2" xfId="1323"/>
    <cellStyle name="Millares 2 4 2 3 2 3" xfId="1322"/>
    <cellStyle name="Millares 2 4 2 3 3" xfId="1324"/>
    <cellStyle name="Millares 2 4 2 3 4" xfId="1321"/>
    <cellStyle name="Millares 2 4 2 4" xfId="611"/>
    <cellStyle name="Millares 2 4 2 4 2" xfId="1241"/>
    <cellStyle name="Millares 2 4 2 4 2 2" xfId="1327"/>
    <cellStyle name="Millares 2 4 2 4 2 3" xfId="1326"/>
    <cellStyle name="Millares 2 4 2 4 3" xfId="1328"/>
    <cellStyle name="Millares 2 4 2 4 4" xfId="1325"/>
    <cellStyle name="Millares 2 4 2 5" xfId="769"/>
    <cellStyle name="Millares 2 4 2 5 2" xfId="1330"/>
    <cellStyle name="Millares 2 4 2 5 3" xfId="1329"/>
    <cellStyle name="Millares 2 4 2 6" xfId="1331"/>
    <cellStyle name="Millares 2 4 2 7" xfId="1316"/>
    <cellStyle name="Millares 2 4 3" xfId="216"/>
    <cellStyle name="Millares 2 4 3 2" xfId="847"/>
    <cellStyle name="Millares 2 4 3 2 2" xfId="1334"/>
    <cellStyle name="Millares 2 4 3 2 3" xfId="1333"/>
    <cellStyle name="Millares 2 4 3 3" xfId="1335"/>
    <cellStyle name="Millares 2 4 3 4" xfId="1332"/>
    <cellStyle name="Millares 2 4 4" xfId="375"/>
    <cellStyle name="Millares 2 4 4 2" xfId="1005"/>
    <cellStyle name="Millares 2 4 4 2 2" xfId="1338"/>
    <cellStyle name="Millares 2 4 4 2 3" xfId="1337"/>
    <cellStyle name="Millares 2 4 4 3" xfId="1339"/>
    <cellStyle name="Millares 2 4 4 4" xfId="1336"/>
    <cellStyle name="Millares 2 4 5" xfId="533"/>
    <cellStyle name="Millares 2 4 5 2" xfId="1163"/>
    <cellStyle name="Millares 2 4 5 2 2" xfId="1342"/>
    <cellStyle name="Millares 2 4 5 2 3" xfId="1341"/>
    <cellStyle name="Millares 2 4 5 3" xfId="1343"/>
    <cellStyle name="Millares 2 4 5 4" xfId="1340"/>
    <cellStyle name="Millares 2 4 6" xfId="691"/>
    <cellStyle name="Millares 2 4 6 2" xfId="1345"/>
    <cellStyle name="Millares 2 4 6 3" xfId="1344"/>
    <cellStyle name="Millares 2 4 7" xfId="1346"/>
    <cellStyle name="Millares 2 4 8" xfId="1315"/>
    <cellStyle name="Millares 2 5" xfId="86"/>
    <cellStyle name="Millares 2 5 2" xfId="164"/>
    <cellStyle name="Millares 2 5 2 2" xfId="320"/>
    <cellStyle name="Millares 2 5 2 2 2" xfId="951"/>
    <cellStyle name="Millares 2 5 2 2 2 2" xfId="1351"/>
    <cellStyle name="Millares 2 5 2 2 2 3" xfId="1350"/>
    <cellStyle name="Millares 2 5 2 2 3" xfId="1352"/>
    <cellStyle name="Millares 2 5 2 2 4" xfId="1349"/>
    <cellStyle name="Millares 2 5 2 3" xfId="479"/>
    <cellStyle name="Millares 2 5 2 3 2" xfId="1109"/>
    <cellStyle name="Millares 2 5 2 3 2 2" xfId="1355"/>
    <cellStyle name="Millares 2 5 2 3 2 3" xfId="1354"/>
    <cellStyle name="Millares 2 5 2 3 3" xfId="1356"/>
    <cellStyle name="Millares 2 5 2 3 4" xfId="1353"/>
    <cellStyle name="Millares 2 5 2 4" xfId="637"/>
    <cellStyle name="Millares 2 5 2 4 2" xfId="1267"/>
    <cellStyle name="Millares 2 5 2 4 2 2" xfId="1359"/>
    <cellStyle name="Millares 2 5 2 4 2 3" xfId="1358"/>
    <cellStyle name="Millares 2 5 2 4 3" xfId="1360"/>
    <cellStyle name="Millares 2 5 2 4 4" xfId="1357"/>
    <cellStyle name="Millares 2 5 2 5" xfId="795"/>
    <cellStyle name="Millares 2 5 2 5 2" xfId="1362"/>
    <cellStyle name="Millares 2 5 2 5 3" xfId="1361"/>
    <cellStyle name="Millares 2 5 2 6" xfId="1363"/>
    <cellStyle name="Millares 2 5 2 7" xfId="1348"/>
    <cellStyle name="Millares 2 5 3" xfId="242"/>
    <cellStyle name="Millares 2 5 3 2" xfId="873"/>
    <cellStyle name="Millares 2 5 3 2 2" xfId="1366"/>
    <cellStyle name="Millares 2 5 3 2 3" xfId="1365"/>
    <cellStyle name="Millares 2 5 3 3" xfId="1367"/>
    <cellStyle name="Millares 2 5 3 4" xfId="1364"/>
    <cellStyle name="Millares 2 5 4" xfId="401"/>
    <cellStyle name="Millares 2 5 4 2" xfId="1031"/>
    <cellStyle name="Millares 2 5 4 2 2" xfId="1370"/>
    <cellStyle name="Millares 2 5 4 2 3" xfId="1369"/>
    <cellStyle name="Millares 2 5 4 3" xfId="1371"/>
    <cellStyle name="Millares 2 5 4 4" xfId="1368"/>
    <cellStyle name="Millares 2 5 5" xfId="559"/>
    <cellStyle name="Millares 2 5 5 2" xfId="1189"/>
    <cellStyle name="Millares 2 5 5 2 2" xfId="1374"/>
    <cellStyle name="Millares 2 5 5 2 3" xfId="1373"/>
    <cellStyle name="Millares 2 5 5 3" xfId="1375"/>
    <cellStyle name="Millares 2 5 5 4" xfId="1372"/>
    <cellStyle name="Millares 2 5 6" xfId="717"/>
    <cellStyle name="Millares 2 5 6 2" xfId="1377"/>
    <cellStyle name="Millares 2 5 6 3" xfId="1376"/>
    <cellStyle name="Millares 2 5 7" xfId="1378"/>
    <cellStyle name="Millares 2 5 8" xfId="1347"/>
    <cellStyle name="Millares 2 6" xfId="112"/>
    <cellStyle name="Millares 2 6 2" xfId="268"/>
    <cellStyle name="Millares 2 6 2 2" xfId="899"/>
    <cellStyle name="Millares 2 6 2 2 2" xfId="1382"/>
    <cellStyle name="Millares 2 6 2 2 3" xfId="1381"/>
    <cellStyle name="Millares 2 6 2 3" xfId="1383"/>
    <cellStyle name="Millares 2 6 2 4" xfId="1380"/>
    <cellStyle name="Millares 2 6 3" xfId="427"/>
    <cellStyle name="Millares 2 6 3 2" xfId="1057"/>
    <cellStyle name="Millares 2 6 3 2 2" xfId="1386"/>
    <cellStyle name="Millares 2 6 3 2 3" xfId="1385"/>
    <cellStyle name="Millares 2 6 3 3" xfId="1387"/>
    <cellStyle name="Millares 2 6 3 4" xfId="1384"/>
    <cellStyle name="Millares 2 6 4" xfId="585"/>
    <cellStyle name="Millares 2 6 4 2" xfId="1215"/>
    <cellStyle name="Millares 2 6 4 2 2" xfId="1390"/>
    <cellStyle name="Millares 2 6 4 2 3" xfId="1389"/>
    <cellStyle name="Millares 2 6 4 3" xfId="1391"/>
    <cellStyle name="Millares 2 6 4 4" xfId="1388"/>
    <cellStyle name="Millares 2 6 5" xfId="743"/>
    <cellStyle name="Millares 2 6 5 2" xfId="1393"/>
    <cellStyle name="Millares 2 6 5 3" xfId="1392"/>
    <cellStyle name="Millares 2 6 6" xfId="1394"/>
    <cellStyle name="Millares 2 6 7" xfId="1379"/>
    <cellStyle name="Millares 2 7" xfId="190"/>
    <cellStyle name="Millares 2 7 2" xfId="821"/>
    <cellStyle name="Millares 2 7 2 2" xfId="1397"/>
    <cellStyle name="Millares 2 7 2 3" xfId="1396"/>
    <cellStyle name="Millares 2 7 3" xfId="1398"/>
    <cellStyle name="Millares 2 7 4" xfId="1395"/>
    <cellStyle name="Millares 2 8" xfId="349"/>
    <cellStyle name="Millares 2 8 2" xfId="979"/>
    <cellStyle name="Millares 2 8 2 2" xfId="1401"/>
    <cellStyle name="Millares 2 8 2 3" xfId="1400"/>
    <cellStyle name="Millares 2 8 3" xfId="1402"/>
    <cellStyle name="Millares 2 8 4" xfId="1399"/>
    <cellStyle name="Millares 2 9" xfId="507"/>
    <cellStyle name="Millares 2 9 2" xfId="1137"/>
    <cellStyle name="Millares 2 9 2 2" xfId="1405"/>
    <cellStyle name="Millares 2 9 2 3" xfId="1404"/>
    <cellStyle name="Millares 2 9 3" xfId="1406"/>
    <cellStyle name="Millares 2 9 4" xfId="1403"/>
    <cellStyle name="Millares 3" xfId="28"/>
    <cellStyle name="Millares 3 10" xfId="677"/>
    <cellStyle name="Millares 3 10 2" xfId="1409"/>
    <cellStyle name="Millares 3 10 3" xfId="1408"/>
    <cellStyle name="Millares 3 11" xfId="1410"/>
    <cellStyle name="Millares 3 12" xfId="1407"/>
    <cellStyle name="Millares 3 2" xfId="42"/>
    <cellStyle name="Millares 3 3" xfId="41"/>
    <cellStyle name="Millares 3 4" xfId="72"/>
    <cellStyle name="Millares 3 4 2" xfId="150"/>
    <cellStyle name="Millares 3 4 2 2" xfId="306"/>
    <cellStyle name="Millares 3 4 2 2 2" xfId="937"/>
    <cellStyle name="Millares 3 4 2 2 2 2" xfId="1415"/>
    <cellStyle name="Millares 3 4 2 2 2 3" xfId="1414"/>
    <cellStyle name="Millares 3 4 2 2 3" xfId="1416"/>
    <cellStyle name="Millares 3 4 2 2 4" xfId="1413"/>
    <cellStyle name="Millares 3 4 2 3" xfId="465"/>
    <cellStyle name="Millares 3 4 2 3 2" xfId="1095"/>
    <cellStyle name="Millares 3 4 2 3 2 2" xfId="1419"/>
    <cellStyle name="Millares 3 4 2 3 2 3" xfId="1418"/>
    <cellStyle name="Millares 3 4 2 3 3" xfId="1420"/>
    <cellStyle name="Millares 3 4 2 3 4" xfId="1417"/>
    <cellStyle name="Millares 3 4 2 4" xfId="623"/>
    <cellStyle name="Millares 3 4 2 4 2" xfId="1253"/>
    <cellStyle name="Millares 3 4 2 4 2 2" xfId="1423"/>
    <cellStyle name="Millares 3 4 2 4 2 3" xfId="1422"/>
    <cellStyle name="Millares 3 4 2 4 3" xfId="1424"/>
    <cellStyle name="Millares 3 4 2 4 4" xfId="1421"/>
    <cellStyle name="Millares 3 4 2 5" xfId="781"/>
    <cellStyle name="Millares 3 4 2 5 2" xfId="1426"/>
    <cellStyle name="Millares 3 4 2 5 3" xfId="1425"/>
    <cellStyle name="Millares 3 4 2 6" xfId="1427"/>
    <cellStyle name="Millares 3 4 2 7" xfId="1412"/>
    <cellStyle name="Millares 3 4 3" xfId="228"/>
    <cellStyle name="Millares 3 4 3 2" xfId="859"/>
    <cellStyle name="Millares 3 4 3 2 2" xfId="1430"/>
    <cellStyle name="Millares 3 4 3 2 3" xfId="1429"/>
    <cellStyle name="Millares 3 4 3 3" xfId="1431"/>
    <cellStyle name="Millares 3 4 3 4" xfId="1428"/>
    <cellStyle name="Millares 3 4 4" xfId="387"/>
    <cellStyle name="Millares 3 4 4 2" xfId="1017"/>
    <cellStyle name="Millares 3 4 4 2 2" xfId="1434"/>
    <cellStyle name="Millares 3 4 4 2 3" xfId="1433"/>
    <cellStyle name="Millares 3 4 4 3" xfId="1435"/>
    <cellStyle name="Millares 3 4 4 4" xfId="1432"/>
    <cellStyle name="Millares 3 4 5" xfId="545"/>
    <cellStyle name="Millares 3 4 5 2" xfId="1175"/>
    <cellStyle name="Millares 3 4 5 2 2" xfId="1438"/>
    <cellStyle name="Millares 3 4 5 2 3" xfId="1437"/>
    <cellStyle name="Millares 3 4 5 3" xfId="1439"/>
    <cellStyle name="Millares 3 4 5 4" xfId="1436"/>
    <cellStyle name="Millares 3 4 6" xfId="703"/>
    <cellStyle name="Millares 3 4 6 2" xfId="1441"/>
    <cellStyle name="Millares 3 4 6 3" xfId="1440"/>
    <cellStyle name="Millares 3 4 7" xfId="1442"/>
    <cellStyle name="Millares 3 4 8" xfId="1411"/>
    <cellStyle name="Millares 3 5" xfId="98"/>
    <cellStyle name="Millares 3 5 2" xfId="176"/>
    <cellStyle name="Millares 3 5 2 2" xfId="332"/>
    <cellStyle name="Millares 3 5 2 2 2" xfId="963"/>
    <cellStyle name="Millares 3 5 2 2 2 2" xfId="1447"/>
    <cellStyle name="Millares 3 5 2 2 2 3" xfId="1446"/>
    <cellStyle name="Millares 3 5 2 2 3" xfId="1448"/>
    <cellStyle name="Millares 3 5 2 2 4" xfId="1445"/>
    <cellStyle name="Millares 3 5 2 3" xfId="491"/>
    <cellStyle name="Millares 3 5 2 3 2" xfId="1121"/>
    <cellStyle name="Millares 3 5 2 3 2 2" xfId="1451"/>
    <cellStyle name="Millares 3 5 2 3 2 3" xfId="1450"/>
    <cellStyle name="Millares 3 5 2 3 3" xfId="1452"/>
    <cellStyle name="Millares 3 5 2 3 4" xfId="1449"/>
    <cellStyle name="Millares 3 5 2 4" xfId="649"/>
    <cellStyle name="Millares 3 5 2 4 2" xfId="1279"/>
    <cellStyle name="Millares 3 5 2 4 2 2" xfId="1455"/>
    <cellStyle name="Millares 3 5 2 4 2 3" xfId="1454"/>
    <cellStyle name="Millares 3 5 2 4 3" xfId="1456"/>
    <cellStyle name="Millares 3 5 2 4 4" xfId="1453"/>
    <cellStyle name="Millares 3 5 2 5" xfId="807"/>
    <cellStyle name="Millares 3 5 2 5 2" xfId="1458"/>
    <cellStyle name="Millares 3 5 2 5 3" xfId="1457"/>
    <cellStyle name="Millares 3 5 2 6" xfId="1459"/>
    <cellStyle name="Millares 3 5 2 7" xfId="1444"/>
    <cellStyle name="Millares 3 5 3" xfId="254"/>
    <cellStyle name="Millares 3 5 3 2" xfId="885"/>
    <cellStyle name="Millares 3 5 3 2 2" xfId="1462"/>
    <cellStyle name="Millares 3 5 3 2 3" xfId="1461"/>
    <cellStyle name="Millares 3 5 3 3" xfId="1463"/>
    <cellStyle name="Millares 3 5 3 4" xfId="1460"/>
    <cellStyle name="Millares 3 5 4" xfId="413"/>
    <cellStyle name="Millares 3 5 4 2" xfId="1043"/>
    <cellStyle name="Millares 3 5 4 2 2" xfId="1466"/>
    <cellStyle name="Millares 3 5 4 2 3" xfId="1465"/>
    <cellStyle name="Millares 3 5 4 3" xfId="1467"/>
    <cellStyle name="Millares 3 5 4 4" xfId="1464"/>
    <cellStyle name="Millares 3 5 5" xfId="571"/>
    <cellStyle name="Millares 3 5 5 2" xfId="1201"/>
    <cellStyle name="Millares 3 5 5 2 2" xfId="1470"/>
    <cellStyle name="Millares 3 5 5 2 3" xfId="1469"/>
    <cellStyle name="Millares 3 5 5 3" xfId="1471"/>
    <cellStyle name="Millares 3 5 5 4" xfId="1468"/>
    <cellStyle name="Millares 3 5 6" xfId="729"/>
    <cellStyle name="Millares 3 5 6 2" xfId="1473"/>
    <cellStyle name="Millares 3 5 6 3" xfId="1472"/>
    <cellStyle name="Millares 3 5 7" xfId="1474"/>
    <cellStyle name="Millares 3 5 8" xfId="1443"/>
    <cellStyle name="Millares 3 6" xfId="124"/>
    <cellStyle name="Millares 3 6 2" xfId="280"/>
    <cellStyle name="Millares 3 6 2 2" xfId="911"/>
    <cellStyle name="Millares 3 6 2 2 2" xfId="1478"/>
    <cellStyle name="Millares 3 6 2 2 3" xfId="1477"/>
    <cellStyle name="Millares 3 6 2 3" xfId="1479"/>
    <cellStyle name="Millares 3 6 2 4" xfId="1476"/>
    <cellStyle name="Millares 3 6 3" xfId="439"/>
    <cellStyle name="Millares 3 6 3 2" xfId="1069"/>
    <cellStyle name="Millares 3 6 3 2 2" xfId="1482"/>
    <cellStyle name="Millares 3 6 3 2 3" xfId="1481"/>
    <cellStyle name="Millares 3 6 3 3" xfId="1483"/>
    <cellStyle name="Millares 3 6 3 4" xfId="1480"/>
    <cellStyle name="Millares 3 6 4" xfId="597"/>
    <cellStyle name="Millares 3 6 4 2" xfId="1227"/>
    <cellStyle name="Millares 3 6 4 2 2" xfId="1486"/>
    <cellStyle name="Millares 3 6 4 2 3" xfId="1485"/>
    <cellStyle name="Millares 3 6 4 3" xfId="1487"/>
    <cellStyle name="Millares 3 6 4 4" xfId="1484"/>
    <cellStyle name="Millares 3 6 5" xfId="755"/>
    <cellStyle name="Millares 3 6 5 2" xfId="1489"/>
    <cellStyle name="Millares 3 6 5 3" xfId="1488"/>
    <cellStyle name="Millares 3 6 6" xfId="1490"/>
    <cellStyle name="Millares 3 6 7" xfId="1475"/>
    <cellStyle name="Millares 3 7" xfId="202"/>
    <cellStyle name="Millares 3 7 2" xfId="833"/>
    <cellStyle name="Millares 3 7 2 2" xfId="1493"/>
    <cellStyle name="Millares 3 7 2 3" xfId="1492"/>
    <cellStyle name="Millares 3 7 3" xfId="1494"/>
    <cellStyle name="Millares 3 7 4" xfId="1491"/>
    <cellStyle name="Millares 3 8" xfId="361"/>
    <cellStyle name="Millares 3 8 2" xfId="991"/>
    <cellStyle name="Millares 3 8 2 2" xfId="1497"/>
    <cellStyle name="Millares 3 8 2 3" xfId="1496"/>
    <cellStyle name="Millares 3 8 3" xfId="1498"/>
    <cellStyle name="Millares 3 8 4" xfId="1495"/>
    <cellStyle name="Millares 3 9" xfId="519"/>
    <cellStyle name="Millares 3 9 2" xfId="1149"/>
    <cellStyle name="Millares 3 9 2 2" xfId="1501"/>
    <cellStyle name="Millares 3 9 2 3" xfId="1500"/>
    <cellStyle name="Millares 3 9 3" xfId="1502"/>
    <cellStyle name="Millares 3 9 4" xfId="1499"/>
    <cellStyle name="Moneda" xfId="9" builtinId="4"/>
    <cellStyle name="Moneda [0] 2" xfId="4"/>
    <cellStyle name="Moneda [0] 2 10" xfId="666"/>
    <cellStyle name="Moneda [0] 2 10 2" xfId="1505"/>
    <cellStyle name="Moneda [0] 2 10 3" xfId="1504"/>
    <cellStyle name="Moneda [0] 2 11" xfId="17"/>
    <cellStyle name="Moneda [0] 2 11 2" xfId="1506"/>
    <cellStyle name="Moneda [0] 2 12" xfId="1503"/>
    <cellStyle name="Moneda [0] 2 2" xfId="11"/>
    <cellStyle name="Moneda [0] 2 2 2" xfId="44"/>
    <cellStyle name="Moneda [0] 2 3" xfId="43"/>
    <cellStyle name="Moneda [0] 2 4" xfId="61"/>
    <cellStyle name="Moneda [0] 2 4 2" xfId="139"/>
    <cellStyle name="Moneda [0] 2 4 2 2" xfId="295"/>
    <cellStyle name="Moneda [0] 2 4 2 2 2" xfId="926"/>
    <cellStyle name="Moneda [0] 2 4 2 2 2 2" xfId="1511"/>
    <cellStyle name="Moneda [0] 2 4 2 2 2 3" xfId="1510"/>
    <cellStyle name="Moneda [0] 2 4 2 2 3" xfId="1512"/>
    <cellStyle name="Moneda [0] 2 4 2 2 4" xfId="1509"/>
    <cellStyle name="Moneda [0] 2 4 2 3" xfId="454"/>
    <cellStyle name="Moneda [0] 2 4 2 3 2" xfId="1084"/>
    <cellStyle name="Moneda [0] 2 4 2 3 2 2" xfId="1515"/>
    <cellStyle name="Moneda [0] 2 4 2 3 2 3" xfId="1514"/>
    <cellStyle name="Moneda [0] 2 4 2 3 3" xfId="1516"/>
    <cellStyle name="Moneda [0] 2 4 2 3 4" xfId="1513"/>
    <cellStyle name="Moneda [0] 2 4 2 4" xfId="612"/>
    <cellStyle name="Moneda [0] 2 4 2 4 2" xfId="1242"/>
    <cellStyle name="Moneda [0] 2 4 2 4 2 2" xfId="1519"/>
    <cellStyle name="Moneda [0] 2 4 2 4 2 3" xfId="1518"/>
    <cellStyle name="Moneda [0] 2 4 2 4 3" xfId="1520"/>
    <cellStyle name="Moneda [0] 2 4 2 4 4" xfId="1517"/>
    <cellStyle name="Moneda [0] 2 4 2 5" xfId="770"/>
    <cellStyle name="Moneda [0] 2 4 2 5 2" xfId="1522"/>
    <cellStyle name="Moneda [0] 2 4 2 5 3" xfId="1521"/>
    <cellStyle name="Moneda [0] 2 4 2 6" xfId="1523"/>
    <cellStyle name="Moneda [0] 2 4 2 7" xfId="1508"/>
    <cellStyle name="Moneda [0] 2 4 3" xfId="217"/>
    <cellStyle name="Moneda [0] 2 4 3 2" xfId="848"/>
    <cellStyle name="Moneda [0] 2 4 3 2 2" xfId="1526"/>
    <cellStyle name="Moneda [0] 2 4 3 2 3" xfId="1525"/>
    <cellStyle name="Moneda [0] 2 4 3 3" xfId="1527"/>
    <cellStyle name="Moneda [0] 2 4 3 4" xfId="1524"/>
    <cellStyle name="Moneda [0] 2 4 4" xfId="376"/>
    <cellStyle name="Moneda [0] 2 4 4 2" xfId="1006"/>
    <cellStyle name="Moneda [0] 2 4 4 2 2" xfId="1530"/>
    <cellStyle name="Moneda [0] 2 4 4 2 3" xfId="1529"/>
    <cellStyle name="Moneda [0] 2 4 4 3" xfId="1531"/>
    <cellStyle name="Moneda [0] 2 4 4 4" xfId="1528"/>
    <cellStyle name="Moneda [0] 2 4 5" xfId="534"/>
    <cellStyle name="Moneda [0] 2 4 5 2" xfId="1164"/>
    <cellStyle name="Moneda [0] 2 4 5 2 2" xfId="1534"/>
    <cellStyle name="Moneda [0] 2 4 5 2 3" xfId="1533"/>
    <cellStyle name="Moneda [0] 2 4 5 3" xfId="1535"/>
    <cellStyle name="Moneda [0] 2 4 5 4" xfId="1532"/>
    <cellStyle name="Moneda [0] 2 4 6" xfId="692"/>
    <cellStyle name="Moneda [0] 2 4 6 2" xfId="1537"/>
    <cellStyle name="Moneda [0] 2 4 6 3" xfId="1536"/>
    <cellStyle name="Moneda [0] 2 4 7" xfId="1538"/>
    <cellStyle name="Moneda [0] 2 4 8" xfId="1507"/>
    <cellStyle name="Moneda [0] 2 5" xfId="87"/>
    <cellStyle name="Moneda [0] 2 5 2" xfId="165"/>
    <cellStyle name="Moneda [0] 2 5 2 2" xfId="321"/>
    <cellStyle name="Moneda [0] 2 5 2 2 2" xfId="952"/>
    <cellStyle name="Moneda [0] 2 5 2 2 2 2" xfId="1543"/>
    <cellStyle name="Moneda [0] 2 5 2 2 2 3" xfId="1542"/>
    <cellStyle name="Moneda [0] 2 5 2 2 3" xfId="1544"/>
    <cellStyle name="Moneda [0] 2 5 2 2 4" xfId="1541"/>
    <cellStyle name="Moneda [0] 2 5 2 3" xfId="480"/>
    <cellStyle name="Moneda [0] 2 5 2 3 2" xfId="1110"/>
    <cellStyle name="Moneda [0] 2 5 2 3 2 2" xfId="1547"/>
    <cellStyle name="Moneda [0] 2 5 2 3 2 3" xfId="1546"/>
    <cellStyle name="Moneda [0] 2 5 2 3 3" xfId="1548"/>
    <cellStyle name="Moneda [0] 2 5 2 3 4" xfId="1545"/>
    <cellStyle name="Moneda [0] 2 5 2 4" xfId="638"/>
    <cellStyle name="Moneda [0] 2 5 2 4 2" xfId="1268"/>
    <cellStyle name="Moneda [0] 2 5 2 4 2 2" xfId="1551"/>
    <cellStyle name="Moneda [0] 2 5 2 4 2 3" xfId="1550"/>
    <cellStyle name="Moneda [0] 2 5 2 4 3" xfId="1552"/>
    <cellStyle name="Moneda [0] 2 5 2 4 4" xfId="1549"/>
    <cellStyle name="Moneda [0] 2 5 2 5" xfId="796"/>
    <cellStyle name="Moneda [0] 2 5 2 5 2" xfId="1554"/>
    <cellStyle name="Moneda [0] 2 5 2 5 3" xfId="1553"/>
    <cellStyle name="Moneda [0] 2 5 2 6" xfId="1555"/>
    <cellStyle name="Moneda [0] 2 5 2 7" xfId="1540"/>
    <cellStyle name="Moneda [0] 2 5 3" xfId="243"/>
    <cellStyle name="Moneda [0] 2 5 3 2" xfId="874"/>
    <cellStyle name="Moneda [0] 2 5 3 2 2" xfId="1558"/>
    <cellStyle name="Moneda [0] 2 5 3 2 3" xfId="1557"/>
    <cellStyle name="Moneda [0] 2 5 3 3" xfId="1559"/>
    <cellStyle name="Moneda [0] 2 5 3 4" xfId="1556"/>
    <cellStyle name="Moneda [0] 2 5 4" xfId="402"/>
    <cellStyle name="Moneda [0] 2 5 4 2" xfId="1032"/>
    <cellStyle name="Moneda [0] 2 5 4 2 2" xfId="1562"/>
    <cellStyle name="Moneda [0] 2 5 4 2 3" xfId="1561"/>
    <cellStyle name="Moneda [0] 2 5 4 3" xfId="1563"/>
    <cellStyle name="Moneda [0] 2 5 4 4" xfId="1560"/>
    <cellStyle name="Moneda [0] 2 5 5" xfId="560"/>
    <cellStyle name="Moneda [0] 2 5 5 2" xfId="1190"/>
    <cellStyle name="Moneda [0] 2 5 5 2 2" xfId="1566"/>
    <cellStyle name="Moneda [0] 2 5 5 2 3" xfId="1565"/>
    <cellStyle name="Moneda [0] 2 5 5 3" xfId="1567"/>
    <cellStyle name="Moneda [0] 2 5 5 4" xfId="1564"/>
    <cellStyle name="Moneda [0] 2 5 6" xfId="718"/>
    <cellStyle name="Moneda [0] 2 5 6 2" xfId="1569"/>
    <cellStyle name="Moneda [0] 2 5 6 3" xfId="1568"/>
    <cellStyle name="Moneda [0] 2 5 7" xfId="1570"/>
    <cellStyle name="Moneda [0] 2 5 8" xfId="1539"/>
    <cellStyle name="Moneda [0] 2 6" xfId="113"/>
    <cellStyle name="Moneda [0] 2 6 2" xfId="269"/>
    <cellStyle name="Moneda [0] 2 6 2 2" xfId="900"/>
    <cellStyle name="Moneda [0] 2 6 2 2 2" xfId="1574"/>
    <cellStyle name="Moneda [0] 2 6 2 2 3" xfId="1573"/>
    <cellStyle name="Moneda [0] 2 6 2 3" xfId="1575"/>
    <cellStyle name="Moneda [0] 2 6 2 4" xfId="1572"/>
    <cellStyle name="Moneda [0] 2 6 3" xfId="428"/>
    <cellStyle name="Moneda [0] 2 6 3 2" xfId="1058"/>
    <cellStyle name="Moneda [0] 2 6 3 2 2" xfId="1578"/>
    <cellStyle name="Moneda [0] 2 6 3 2 3" xfId="1577"/>
    <cellStyle name="Moneda [0] 2 6 3 3" xfId="1579"/>
    <cellStyle name="Moneda [0] 2 6 3 4" xfId="1576"/>
    <cellStyle name="Moneda [0] 2 6 4" xfId="586"/>
    <cellStyle name="Moneda [0] 2 6 4 2" xfId="1216"/>
    <cellStyle name="Moneda [0] 2 6 4 2 2" xfId="1582"/>
    <cellStyle name="Moneda [0] 2 6 4 2 3" xfId="1581"/>
    <cellStyle name="Moneda [0] 2 6 4 3" xfId="1583"/>
    <cellStyle name="Moneda [0] 2 6 4 4" xfId="1580"/>
    <cellStyle name="Moneda [0] 2 6 5" xfId="744"/>
    <cellStyle name="Moneda [0] 2 6 5 2" xfId="1585"/>
    <cellStyle name="Moneda [0] 2 6 5 3" xfId="1584"/>
    <cellStyle name="Moneda [0] 2 6 6" xfId="1586"/>
    <cellStyle name="Moneda [0] 2 6 7" xfId="1571"/>
    <cellStyle name="Moneda [0] 2 7" xfId="191"/>
    <cellStyle name="Moneda [0] 2 7 2" xfId="822"/>
    <cellStyle name="Moneda [0] 2 7 2 2" xfId="1589"/>
    <cellStyle name="Moneda [0] 2 7 2 3" xfId="1588"/>
    <cellStyle name="Moneda [0] 2 7 3" xfId="1590"/>
    <cellStyle name="Moneda [0] 2 7 4" xfId="1587"/>
    <cellStyle name="Moneda [0] 2 8" xfId="350"/>
    <cellStyle name="Moneda [0] 2 8 2" xfId="980"/>
    <cellStyle name="Moneda [0] 2 8 2 2" xfId="1593"/>
    <cellStyle name="Moneda [0] 2 8 2 3" xfId="1592"/>
    <cellStyle name="Moneda [0] 2 8 3" xfId="1594"/>
    <cellStyle name="Moneda [0] 2 8 4" xfId="1591"/>
    <cellStyle name="Moneda [0] 2 9" xfId="508"/>
    <cellStyle name="Moneda [0] 2 9 2" xfId="1138"/>
    <cellStyle name="Moneda [0] 2 9 2 2" xfId="1597"/>
    <cellStyle name="Moneda [0] 2 9 2 3" xfId="1596"/>
    <cellStyle name="Moneda [0] 2 9 3" xfId="1598"/>
    <cellStyle name="Moneda [0] 2 9 4" xfId="1595"/>
    <cellStyle name="Moneda 10" xfId="35"/>
    <cellStyle name="Moneda 10 10" xfId="1599"/>
    <cellStyle name="Moneda 10 2" xfId="78"/>
    <cellStyle name="Moneda 10 2 2" xfId="156"/>
    <cellStyle name="Moneda 10 2 2 2" xfId="312"/>
    <cellStyle name="Moneda 10 2 2 2 2" xfId="943"/>
    <cellStyle name="Moneda 10 2 2 2 2 2" xfId="1604"/>
    <cellStyle name="Moneda 10 2 2 2 2 3" xfId="1603"/>
    <cellStyle name="Moneda 10 2 2 2 3" xfId="1605"/>
    <cellStyle name="Moneda 10 2 2 2 4" xfId="1602"/>
    <cellStyle name="Moneda 10 2 2 3" xfId="471"/>
    <cellStyle name="Moneda 10 2 2 3 2" xfId="1101"/>
    <cellStyle name="Moneda 10 2 2 3 2 2" xfId="1608"/>
    <cellStyle name="Moneda 10 2 2 3 2 3" xfId="1607"/>
    <cellStyle name="Moneda 10 2 2 3 3" xfId="1609"/>
    <cellStyle name="Moneda 10 2 2 3 4" xfId="1606"/>
    <cellStyle name="Moneda 10 2 2 4" xfId="629"/>
    <cellStyle name="Moneda 10 2 2 4 2" xfId="1259"/>
    <cellStyle name="Moneda 10 2 2 4 2 2" xfId="1612"/>
    <cellStyle name="Moneda 10 2 2 4 2 3" xfId="1611"/>
    <cellStyle name="Moneda 10 2 2 4 3" xfId="1613"/>
    <cellStyle name="Moneda 10 2 2 4 4" xfId="1610"/>
    <cellStyle name="Moneda 10 2 2 5" xfId="787"/>
    <cellStyle name="Moneda 10 2 2 5 2" xfId="1615"/>
    <cellStyle name="Moneda 10 2 2 5 3" xfId="1614"/>
    <cellStyle name="Moneda 10 2 2 6" xfId="1616"/>
    <cellStyle name="Moneda 10 2 2 7" xfId="1601"/>
    <cellStyle name="Moneda 10 2 3" xfId="234"/>
    <cellStyle name="Moneda 10 2 3 2" xfId="865"/>
    <cellStyle name="Moneda 10 2 3 2 2" xfId="1619"/>
    <cellStyle name="Moneda 10 2 3 2 3" xfId="1618"/>
    <cellStyle name="Moneda 10 2 3 3" xfId="1620"/>
    <cellStyle name="Moneda 10 2 3 4" xfId="1617"/>
    <cellStyle name="Moneda 10 2 4" xfId="393"/>
    <cellStyle name="Moneda 10 2 4 2" xfId="1023"/>
    <cellStyle name="Moneda 10 2 4 2 2" xfId="1623"/>
    <cellStyle name="Moneda 10 2 4 2 3" xfId="1622"/>
    <cellStyle name="Moneda 10 2 4 3" xfId="1624"/>
    <cellStyle name="Moneda 10 2 4 4" xfId="1621"/>
    <cellStyle name="Moneda 10 2 5" xfId="551"/>
    <cellStyle name="Moneda 10 2 5 2" xfId="1181"/>
    <cellStyle name="Moneda 10 2 5 2 2" xfId="1627"/>
    <cellStyle name="Moneda 10 2 5 2 3" xfId="1626"/>
    <cellStyle name="Moneda 10 2 5 3" xfId="1628"/>
    <cellStyle name="Moneda 10 2 5 4" xfId="1625"/>
    <cellStyle name="Moneda 10 2 6" xfId="709"/>
    <cellStyle name="Moneda 10 2 6 2" xfId="1630"/>
    <cellStyle name="Moneda 10 2 6 3" xfId="1629"/>
    <cellStyle name="Moneda 10 2 7" xfId="1631"/>
    <cellStyle name="Moneda 10 2 8" xfId="1600"/>
    <cellStyle name="Moneda 10 3" xfId="104"/>
    <cellStyle name="Moneda 10 3 2" xfId="182"/>
    <cellStyle name="Moneda 10 3 2 2" xfId="338"/>
    <cellStyle name="Moneda 10 3 2 2 2" xfId="969"/>
    <cellStyle name="Moneda 10 3 2 2 2 2" xfId="1636"/>
    <cellStyle name="Moneda 10 3 2 2 2 3" xfId="1635"/>
    <cellStyle name="Moneda 10 3 2 2 3" xfId="1637"/>
    <cellStyle name="Moneda 10 3 2 2 4" xfId="1634"/>
    <cellStyle name="Moneda 10 3 2 3" xfId="497"/>
    <cellStyle name="Moneda 10 3 2 3 2" xfId="1127"/>
    <cellStyle name="Moneda 10 3 2 3 2 2" xfId="1640"/>
    <cellStyle name="Moneda 10 3 2 3 2 3" xfId="1639"/>
    <cellStyle name="Moneda 10 3 2 3 3" xfId="1641"/>
    <cellStyle name="Moneda 10 3 2 3 4" xfId="1638"/>
    <cellStyle name="Moneda 10 3 2 4" xfId="655"/>
    <cellStyle name="Moneda 10 3 2 4 2" xfId="1285"/>
    <cellStyle name="Moneda 10 3 2 4 2 2" xfId="1644"/>
    <cellStyle name="Moneda 10 3 2 4 2 3" xfId="1643"/>
    <cellStyle name="Moneda 10 3 2 4 3" xfId="1645"/>
    <cellStyle name="Moneda 10 3 2 4 4" xfId="1642"/>
    <cellStyle name="Moneda 10 3 2 5" xfId="813"/>
    <cellStyle name="Moneda 10 3 2 5 2" xfId="1647"/>
    <cellStyle name="Moneda 10 3 2 5 3" xfId="1646"/>
    <cellStyle name="Moneda 10 3 2 6" xfId="1648"/>
    <cellStyle name="Moneda 10 3 2 7" xfId="1633"/>
    <cellStyle name="Moneda 10 3 3" xfId="260"/>
    <cellStyle name="Moneda 10 3 3 2" xfId="891"/>
    <cellStyle name="Moneda 10 3 3 2 2" xfId="1651"/>
    <cellStyle name="Moneda 10 3 3 2 3" xfId="1650"/>
    <cellStyle name="Moneda 10 3 3 3" xfId="1652"/>
    <cellStyle name="Moneda 10 3 3 4" xfId="1649"/>
    <cellStyle name="Moneda 10 3 4" xfId="419"/>
    <cellStyle name="Moneda 10 3 4 2" xfId="1049"/>
    <cellStyle name="Moneda 10 3 4 2 2" xfId="1655"/>
    <cellStyle name="Moneda 10 3 4 2 3" xfId="1654"/>
    <cellStyle name="Moneda 10 3 4 3" xfId="1656"/>
    <cellStyle name="Moneda 10 3 4 4" xfId="1653"/>
    <cellStyle name="Moneda 10 3 5" xfId="577"/>
    <cellStyle name="Moneda 10 3 5 2" xfId="1207"/>
    <cellStyle name="Moneda 10 3 5 2 2" xfId="1659"/>
    <cellStyle name="Moneda 10 3 5 2 3" xfId="1658"/>
    <cellStyle name="Moneda 10 3 5 3" xfId="1660"/>
    <cellStyle name="Moneda 10 3 5 4" xfId="1657"/>
    <cellStyle name="Moneda 10 3 6" xfId="735"/>
    <cellStyle name="Moneda 10 3 6 2" xfId="1662"/>
    <cellStyle name="Moneda 10 3 6 3" xfId="1661"/>
    <cellStyle name="Moneda 10 3 7" xfId="1663"/>
    <cellStyle name="Moneda 10 3 8" xfId="1632"/>
    <cellStyle name="Moneda 10 4" xfId="130"/>
    <cellStyle name="Moneda 10 4 2" xfId="286"/>
    <cellStyle name="Moneda 10 4 2 2" xfId="917"/>
    <cellStyle name="Moneda 10 4 2 2 2" xfId="1667"/>
    <cellStyle name="Moneda 10 4 2 2 3" xfId="1666"/>
    <cellStyle name="Moneda 10 4 2 3" xfId="1668"/>
    <cellStyle name="Moneda 10 4 2 4" xfId="1665"/>
    <cellStyle name="Moneda 10 4 3" xfId="445"/>
    <cellStyle name="Moneda 10 4 3 2" xfId="1075"/>
    <cellStyle name="Moneda 10 4 3 2 2" xfId="1671"/>
    <cellStyle name="Moneda 10 4 3 2 3" xfId="1670"/>
    <cellStyle name="Moneda 10 4 3 3" xfId="1672"/>
    <cellStyle name="Moneda 10 4 3 4" xfId="1669"/>
    <cellStyle name="Moneda 10 4 4" xfId="603"/>
    <cellStyle name="Moneda 10 4 4 2" xfId="1233"/>
    <cellStyle name="Moneda 10 4 4 2 2" xfId="1675"/>
    <cellStyle name="Moneda 10 4 4 2 3" xfId="1674"/>
    <cellStyle name="Moneda 10 4 4 3" xfId="1676"/>
    <cellStyle name="Moneda 10 4 4 4" xfId="1673"/>
    <cellStyle name="Moneda 10 4 5" xfId="761"/>
    <cellStyle name="Moneda 10 4 5 2" xfId="1678"/>
    <cellStyle name="Moneda 10 4 5 3" xfId="1677"/>
    <cellStyle name="Moneda 10 4 6" xfId="1679"/>
    <cellStyle name="Moneda 10 4 7" xfId="1664"/>
    <cellStyle name="Moneda 10 5" xfId="208"/>
    <cellStyle name="Moneda 10 5 2" xfId="839"/>
    <cellStyle name="Moneda 10 5 2 2" xfId="1682"/>
    <cellStyle name="Moneda 10 5 2 3" xfId="1681"/>
    <cellStyle name="Moneda 10 5 3" xfId="1683"/>
    <cellStyle name="Moneda 10 5 4" xfId="1680"/>
    <cellStyle name="Moneda 10 6" xfId="367"/>
    <cellStyle name="Moneda 10 6 2" xfId="997"/>
    <cellStyle name="Moneda 10 6 2 2" xfId="1686"/>
    <cellStyle name="Moneda 10 6 2 3" xfId="1685"/>
    <cellStyle name="Moneda 10 6 3" xfId="1687"/>
    <cellStyle name="Moneda 10 6 4" xfId="1684"/>
    <cellStyle name="Moneda 10 7" xfId="525"/>
    <cellStyle name="Moneda 10 7 2" xfId="1155"/>
    <cellStyle name="Moneda 10 7 2 2" xfId="1690"/>
    <cellStyle name="Moneda 10 7 2 3" xfId="1689"/>
    <cellStyle name="Moneda 10 7 3" xfId="1691"/>
    <cellStyle name="Moneda 10 7 4" xfId="1688"/>
    <cellStyle name="Moneda 10 8" xfId="683"/>
    <cellStyle name="Moneda 10 8 2" xfId="1693"/>
    <cellStyle name="Moneda 10 8 3" xfId="1692"/>
    <cellStyle name="Moneda 10 9" xfId="1694"/>
    <cellStyle name="Moneda 11" xfId="25"/>
    <cellStyle name="Moneda 11 10" xfId="1695"/>
    <cellStyle name="Moneda 11 2" xfId="69"/>
    <cellStyle name="Moneda 11 2 2" xfId="147"/>
    <cellStyle name="Moneda 11 2 2 2" xfId="303"/>
    <cellStyle name="Moneda 11 2 2 2 2" xfId="934"/>
    <cellStyle name="Moneda 11 2 2 2 2 2" xfId="1700"/>
    <cellStyle name="Moneda 11 2 2 2 2 3" xfId="1699"/>
    <cellStyle name="Moneda 11 2 2 2 3" xfId="1701"/>
    <cellStyle name="Moneda 11 2 2 2 4" xfId="1698"/>
    <cellStyle name="Moneda 11 2 2 3" xfId="462"/>
    <cellStyle name="Moneda 11 2 2 3 2" xfId="1092"/>
    <cellStyle name="Moneda 11 2 2 3 2 2" xfId="1704"/>
    <cellStyle name="Moneda 11 2 2 3 2 3" xfId="1703"/>
    <cellStyle name="Moneda 11 2 2 3 3" xfId="1705"/>
    <cellStyle name="Moneda 11 2 2 3 4" xfId="1702"/>
    <cellStyle name="Moneda 11 2 2 4" xfId="620"/>
    <cellStyle name="Moneda 11 2 2 4 2" xfId="1250"/>
    <cellStyle name="Moneda 11 2 2 4 2 2" xfId="1708"/>
    <cellStyle name="Moneda 11 2 2 4 2 3" xfId="1707"/>
    <cellStyle name="Moneda 11 2 2 4 3" xfId="1709"/>
    <cellStyle name="Moneda 11 2 2 4 4" xfId="1706"/>
    <cellStyle name="Moneda 11 2 2 5" xfId="778"/>
    <cellStyle name="Moneda 11 2 2 5 2" xfId="1711"/>
    <cellStyle name="Moneda 11 2 2 5 3" xfId="1710"/>
    <cellStyle name="Moneda 11 2 2 6" xfId="1712"/>
    <cellStyle name="Moneda 11 2 2 7" xfId="1697"/>
    <cellStyle name="Moneda 11 2 3" xfId="225"/>
    <cellStyle name="Moneda 11 2 3 2" xfId="856"/>
    <cellStyle name="Moneda 11 2 3 2 2" xfId="1715"/>
    <cellStyle name="Moneda 11 2 3 2 3" xfId="1714"/>
    <cellStyle name="Moneda 11 2 3 3" xfId="1716"/>
    <cellStyle name="Moneda 11 2 3 4" xfId="1713"/>
    <cellStyle name="Moneda 11 2 4" xfId="384"/>
    <cellStyle name="Moneda 11 2 4 2" xfId="1014"/>
    <cellStyle name="Moneda 11 2 4 2 2" xfId="1719"/>
    <cellStyle name="Moneda 11 2 4 2 3" xfId="1718"/>
    <cellStyle name="Moneda 11 2 4 3" xfId="1720"/>
    <cellStyle name="Moneda 11 2 4 4" xfId="1717"/>
    <cellStyle name="Moneda 11 2 5" xfId="542"/>
    <cellStyle name="Moneda 11 2 5 2" xfId="1172"/>
    <cellStyle name="Moneda 11 2 5 2 2" xfId="1723"/>
    <cellStyle name="Moneda 11 2 5 2 3" xfId="1722"/>
    <cellStyle name="Moneda 11 2 5 3" xfId="1724"/>
    <cellStyle name="Moneda 11 2 5 4" xfId="1721"/>
    <cellStyle name="Moneda 11 2 6" xfId="700"/>
    <cellStyle name="Moneda 11 2 6 2" xfId="1726"/>
    <cellStyle name="Moneda 11 2 6 3" xfId="1725"/>
    <cellStyle name="Moneda 11 2 7" xfId="1727"/>
    <cellStyle name="Moneda 11 2 8" xfId="1696"/>
    <cellStyle name="Moneda 11 3" xfId="95"/>
    <cellStyle name="Moneda 11 3 2" xfId="173"/>
    <cellStyle name="Moneda 11 3 2 2" xfId="329"/>
    <cellStyle name="Moneda 11 3 2 2 2" xfId="960"/>
    <cellStyle name="Moneda 11 3 2 2 2 2" xfId="1732"/>
    <cellStyle name="Moneda 11 3 2 2 2 3" xfId="1731"/>
    <cellStyle name="Moneda 11 3 2 2 3" xfId="1733"/>
    <cellStyle name="Moneda 11 3 2 2 4" xfId="1730"/>
    <cellStyle name="Moneda 11 3 2 3" xfId="488"/>
    <cellStyle name="Moneda 11 3 2 3 2" xfId="1118"/>
    <cellStyle name="Moneda 11 3 2 3 2 2" xfId="1736"/>
    <cellStyle name="Moneda 11 3 2 3 2 3" xfId="1735"/>
    <cellStyle name="Moneda 11 3 2 3 3" xfId="1737"/>
    <cellStyle name="Moneda 11 3 2 3 4" xfId="1734"/>
    <cellStyle name="Moneda 11 3 2 4" xfId="646"/>
    <cellStyle name="Moneda 11 3 2 4 2" xfId="1276"/>
    <cellStyle name="Moneda 11 3 2 4 2 2" xfId="1740"/>
    <cellStyle name="Moneda 11 3 2 4 2 3" xfId="1739"/>
    <cellStyle name="Moneda 11 3 2 4 3" xfId="1741"/>
    <cellStyle name="Moneda 11 3 2 4 4" xfId="1738"/>
    <cellStyle name="Moneda 11 3 2 5" xfId="804"/>
    <cellStyle name="Moneda 11 3 2 5 2" xfId="1743"/>
    <cellStyle name="Moneda 11 3 2 5 3" xfId="1742"/>
    <cellStyle name="Moneda 11 3 2 6" xfId="1744"/>
    <cellStyle name="Moneda 11 3 2 7" xfId="1729"/>
    <cellStyle name="Moneda 11 3 3" xfId="251"/>
    <cellStyle name="Moneda 11 3 3 2" xfId="882"/>
    <cellStyle name="Moneda 11 3 3 2 2" xfId="1747"/>
    <cellStyle name="Moneda 11 3 3 2 3" xfId="1746"/>
    <cellStyle name="Moneda 11 3 3 3" xfId="1748"/>
    <cellStyle name="Moneda 11 3 3 4" xfId="1745"/>
    <cellStyle name="Moneda 11 3 4" xfId="410"/>
    <cellStyle name="Moneda 11 3 4 2" xfId="1040"/>
    <cellStyle name="Moneda 11 3 4 2 2" xfId="1751"/>
    <cellStyle name="Moneda 11 3 4 2 3" xfId="1750"/>
    <cellStyle name="Moneda 11 3 4 3" xfId="1752"/>
    <cellStyle name="Moneda 11 3 4 4" xfId="1749"/>
    <cellStyle name="Moneda 11 3 5" xfId="568"/>
    <cellStyle name="Moneda 11 3 5 2" xfId="1198"/>
    <cellStyle name="Moneda 11 3 5 2 2" xfId="1755"/>
    <cellStyle name="Moneda 11 3 5 2 3" xfId="1754"/>
    <cellStyle name="Moneda 11 3 5 3" xfId="1756"/>
    <cellStyle name="Moneda 11 3 5 4" xfId="1753"/>
    <cellStyle name="Moneda 11 3 6" xfId="726"/>
    <cellStyle name="Moneda 11 3 6 2" xfId="1758"/>
    <cellStyle name="Moneda 11 3 6 3" xfId="1757"/>
    <cellStyle name="Moneda 11 3 7" xfId="1759"/>
    <cellStyle name="Moneda 11 3 8" xfId="1728"/>
    <cellStyle name="Moneda 11 4" xfId="121"/>
    <cellStyle name="Moneda 11 4 2" xfId="277"/>
    <cellStyle name="Moneda 11 4 2 2" xfId="908"/>
    <cellStyle name="Moneda 11 4 2 2 2" xfId="1763"/>
    <cellStyle name="Moneda 11 4 2 2 3" xfId="1762"/>
    <cellStyle name="Moneda 11 4 2 3" xfId="1764"/>
    <cellStyle name="Moneda 11 4 2 4" xfId="1761"/>
    <cellStyle name="Moneda 11 4 3" xfId="436"/>
    <cellStyle name="Moneda 11 4 3 2" xfId="1066"/>
    <cellStyle name="Moneda 11 4 3 2 2" xfId="1767"/>
    <cellStyle name="Moneda 11 4 3 2 3" xfId="1766"/>
    <cellStyle name="Moneda 11 4 3 3" xfId="1768"/>
    <cellStyle name="Moneda 11 4 3 4" xfId="1765"/>
    <cellStyle name="Moneda 11 4 4" xfId="594"/>
    <cellStyle name="Moneda 11 4 4 2" xfId="1224"/>
    <cellStyle name="Moneda 11 4 4 2 2" xfId="1771"/>
    <cellStyle name="Moneda 11 4 4 2 3" xfId="1770"/>
    <cellStyle name="Moneda 11 4 4 3" xfId="1772"/>
    <cellStyle name="Moneda 11 4 4 4" xfId="1769"/>
    <cellStyle name="Moneda 11 4 5" xfId="752"/>
    <cellStyle name="Moneda 11 4 5 2" xfId="1774"/>
    <cellStyle name="Moneda 11 4 5 3" xfId="1773"/>
    <cellStyle name="Moneda 11 4 6" xfId="1775"/>
    <cellStyle name="Moneda 11 4 7" xfId="1760"/>
    <cellStyle name="Moneda 11 5" xfId="199"/>
    <cellStyle name="Moneda 11 5 2" xfId="830"/>
    <cellStyle name="Moneda 11 5 2 2" xfId="1778"/>
    <cellStyle name="Moneda 11 5 2 3" xfId="1777"/>
    <cellStyle name="Moneda 11 5 3" xfId="1779"/>
    <cellStyle name="Moneda 11 5 4" xfId="1776"/>
    <cellStyle name="Moneda 11 6" xfId="358"/>
    <cellStyle name="Moneda 11 6 2" xfId="988"/>
    <cellStyle name="Moneda 11 6 2 2" xfId="1782"/>
    <cellStyle name="Moneda 11 6 2 3" xfId="1781"/>
    <cellStyle name="Moneda 11 6 3" xfId="1783"/>
    <cellStyle name="Moneda 11 6 4" xfId="1780"/>
    <cellStyle name="Moneda 11 7" xfId="516"/>
    <cellStyle name="Moneda 11 7 2" xfId="1146"/>
    <cellStyle name="Moneda 11 7 2 2" xfId="1786"/>
    <cellStyle name="Moneda 11 7 2 3" xfId="1785"/>
    <cellStyle name="Moneda 11 7 3" xfId="1787"/>
    <cellStyle name="Moneda 11 7 4" xfId="1784"/>
    <cellStyle name="Moneda 11 8" xfId="674"/>
    <cellStyle name="Moneda 11 8 2" xfId="1789"/>
    <cellStyle name="Moneda 11 8 3" xfId="1788"/>
    <cellStyle name="Moneda 11 9" xfId="1790"/>
    <cellStyle name="Moneda 12" xfId="34"/>
    <cellStyle name="Moneda 12 10" xfId="1791"/>
    <cellStyle name="Moneda 12 2" xfId="77"/>
    <cellStyle name="Moneda 12 2 2" xfId="155"/>
    <cellStyle name="Moneda 12 2 2 2" xfId="311"/>
    <cellStyle name="Moneda 12 2 2 2 2" xfId="942"/>
    <cellStyle name="Moneda 12 2 2 2 2 2" xfId="1796"/>
    <cellStyle name="Moneda 12 2 2 2 2 3" xfId="1795"/>
    <cellStyle name="Moneda 12 2 2 2 3" xfId="1797"/>
    <cellStyle name="Moneda 12 2 2 2 4" xfId="1794"/>
    <cellStyle name="Moneda 12 2 2 3" xfId="470"/>
    <cellStyle name="Moneda 12 2 2 3 2" xfId="1100"/>
    <cellStyle name="Moneda 12 2 2 3 2 2" xfId="1800"/>
    <cellStyle name="Moneda 12 2 2 3 2 3" xfId="1799"/>
    <cellStyle name="Moneda 12 2 2 3 3" xfId="1801"/>
    <cellStyle name="Moneda 12 2 2 3 4" xfId="1798"/>
    <cellStyle name="Moneda 12 2 2 4" xfId="628"/>
    <cellStyle name="Moneda 12 2 2 4 2" xfId="1258"/>
    <cellStyle name="Moneda 12 2 2 4 2 2" xfId="1804"/>
    <cellStyle name="Moneda 12 2 2 4 2 3" xfId="1803"/>
    <cellStyle name="Moneda 12 2 2 4 3" xfId="1805"/>
    <cellStyle name="Moneda 12 2 2 4 4" xfId="1802"/>
    <cellStyle name="Moneda 12 2 2 5" xfId="786"/>
    <cellStyle name="Moneda 12 2 2 5 2" xfId="1807"/>
    <cellStyle name="Moneda 12 2 2 5 3" xfId="1806"/>
    <cellStyle name="Moneda 12 2 2 6" xfId="1808"/>
    <cellStyle name="Moneda 12 2 2 7" xfId="1793"/>
    <cellStyle name="Moneda 12 2 3" xfId="233"/>
    <cellStyle name="Moneda 12 2 3 2" xfId="864"/>
    <cellStyle name="Moneda 12 2 3 2 2" xfId="1811"/>
    <cellStyle name="Moneda 12 2 3 2 3" xfId="1810"/>
    <cellStyle name="Moneda 12 2 3 3" xfId="1812"/>
    <cellStyle name="Moneda 12 2 3 4" xfId="1809"/>
    <cellStyle name="Moneda 12 2 4" xfId="392"/>
    <cellStyle name="Moneda 12 2 4 2" xfId="1022"/>
    <cellStyle name="Moneda 12 2 4 2 2" xfId="1815"/>
    <cellStyle name="Moneda 12 2 4 2 3" xfId="1814"/>
    <cellStyle name="Moneda 12 2 4 3" xfId="1816"/>
    <cellStyle name="Moneda 12 2 4 4" xfId="1813"/>
    <cellStyle name="Moneda 12 2 5" xfId="550"/>
    <cellStyle name="Moneda 12 2 5 2" xfId="1180"/>
    <cellStyle name="Moneda 12 2 5 2 2" xfId="1819"/>
    <cellStyle name="Moneda 12 2 5 2 3" xfId="1818"/>
    <cellStyle name="Moneda 12 2 5 3" xfId="1820"/>
    <cellStyle name="Moneda 12 2 5 4" xfId="1817"/>
    <cellStyle name="Moneda 12 2 6" xfId="708"/>
    <cellStyle name="Moneda 12 2 6 2" xfId="1822"/>
    <cellStyle name="Moneda 12 2 6 3" xfId="1821"/>
    <cellStyle name="Moneda 12 2 7" xfId="1823"/>
    <cellStyle name="Moneda 12 2 8" xfId="1792"/>
    <cellStyle name="Moneda 12 3" xfId="103"/>
    <cellStyle name="Moneda 12 3 2" xfId="181"/>
    <cellStyle name="Moneda 12 3 2 2" xfId="337"/>
    <cellStyle name="Moneda 12 3 2 2 2" xfId="968"/>
    <cellStyle name="Moneda 12 3 2 2 2 2" xfId="1828"/>
    <cellStyle name="Moneda 12 3 2 2 2 3" xfId="1827"/>
    <cellStyle name="Moneda 12 3 2 2 3" xfId="1829"/>
    <cellStyle name="Moneda 12 3 2 2 4" xfId="1826"/>
    <cellStyle name="Moneda 12 3 2 3" xfId="496"/>
    <cellStyle name="Moneda 12 3 2 3 2" xfId="1126"/>
    <cellStyle name="Moneda 12 3 2 3 2 2" xfId="1832"/>
    <cellStyle name="Moneda 12 3 2 3 2 3" xfId="1831"/>
    <cellStyle name="Moneda 12 3 2 3 3" xfId="1833"/>
    <cellStyle name="Moneda 12 3 2 3 4" xfId="1830"/>
    <cellStyle name="Moneda 12 3 2 4" xfId="654"/>
    <cellStyle name="Moneda 12 3 2 4 2" xfId="1284"/>
    <cellStyle name="Moneda 12 3 2 4 2 2" xfId="1836"/>
    <cellStyle name="Moneda 12 3 2 4 2 3" xfId="1835"/>
    <cellStyle name="Moneda 12 3 2 4 3" xfId="1837"/>
    <cellStyle name="Moneda 12 3 2 4 4" xfId="1834"/>
    <cellStyle name="Moneda 12 3 2 5" xfId="812"/>
    <cellStyle name="Moneda 12 3 2 5 2" xfId="1839"/>
    <cellStyle name="Moneda 12 3 2 5 3" xfId="1838"/>
    <cellStyle name="Moneda 12 3 2 6" xfId="1840"/>
    <cellStyle name="Moneda 12 3 2 7" xfId="1825"/>
    <cellStyle name="Moneda 12 3 3" xfId="259"/>
    <cellStyle name="Moneda 12 3 3 2" xfId="890"/>
    <cellStyle name="Moneda 12 3 3 2 2" xfId="1843"/>
    <cellStyle name="Moneda 12 3 3 2 3" xfId="1842"/>
    <cellStyle name="Moneda 12 3 3 3" xfId="1844"/>
    <cellStyle name="Moneda 12 3 3 4" xfId="1841"/>
    <cellStyle name="Moneda 12 3 4" xfId="418"/>
    <cellStyle name="Moneda 12 3 4 2" xfId="1048"/>
    <cellStyle name="Moneda 12 3 4 2 2" xfId="1847"/>
    <cellStyle name="Moneda 12 3 4 2 3" xfId="1846"/>
    <cellStyle name="Moneda 12 3 4 3" xfId="1848"/>
    <cellStyle name="Moneda 12 3 4 4" xfId="1845"/>
    <cellStyle name="Moneda 12 3 5" xfId="576"/>
    <cellStyle name="Moneda 12 3 5 2" xfId="1206"/>
    <cellStyle name="Moneda 12 3 5 2 2" xfId="1851"/>
    <cellStyle name="Moneda 12 3 5 2 3" xfId="1850"/>
    <cellStyle name="Moneda 12 3 5 3" xfId="1852"/>
    <cellStyle name="Moneda 12 3 5 4" xfId="1849"/>
    <cellStyle name="Moneda 12 3 6" xfId="734"/>
    <cellStyle name="Moneda 12 3 6 2" xfId="1854"/>
    <cellStyle name="Moneda 12 3 6 3" xfId="1853"/>
    <cellStyle name="Moneda 12 3 7" xfId="1855"/>
    <cellStyle name="Moneda 12 3 8" xfId="1824"/>
    <cellStyle name="Moneda 12 4" xfId="129"/>
    <cellStyle name="Moneda 12 4 2" xfId="285"/>
    <cellStyle name="Moneda 12 4 2 2" xfId="916"/>
    <cellStyle name="Moneda 12 4 2 2 2" xfId="1859"/>
    <cellStyle name="Moneda 12 4 2 2 3" xfId="1858"/>
    <cellStyle name="Moneda 12 4 2 3" xfId="1860"/>
    <cellStyle name="Moneda 12 4 2 4" xfId="1857"/>
    <cellStyle name="Moneda 12 4 3" xfId="444"/>
    <cellStyle name="Moneda 12 4 3 2" xfId="1074"/>
    <cellStyle name="Moneda 12 4 3 2 2" xfId="1863"/>
    <cellStyle name="Moneda 12 4 3 2 3" xfId="1862"/>
    <cellStyle name="Moneda 12 4 3 3" xfId="1864"/>
    <cellStyle name="Moneda 12 4 3 4" xfId="1861"/>
    <cellStyle name="Moneda 12 4 4" xfId="602"/>
    <cellStyle name="Moneda 12 4 4 2" xfId="1232"/>
    <cellStyle name="Moneda 12 4 4 2 2" xfId="1867"/>
    <cellStyle name="Moneda 12 4 4 2 3" xfId="1866"/>
    <cellStyle name="Moneda 12 4 4 3" xfId="1868"/>
    <cellStyle name="Moneda 12 4 4 4" xfId="1865"/>
    <cellStyle name="Moneda 12 4 5" xfId="760"/>
    <cellStyle name="Moneda 12 4 5 2" xfId="1870"/>
    <cellStyle name="Moneda 12 4 5 3" xfId="1869"/>
    <cellStyle name="Moneda 12 4 6" xfId="1871"/>
    <cellStyle name="Moneda 12 4 7" xfId="1856"/>
    <cellStyle name="Moneda 12 5" xfId="207"/>
    <cellStyle name="Moneda 12 5 2" xfId="838"/>
    <cellStyle name="Moneda 12 5 2 2" xfId="1874"/>
    <cellStyle name="Moneda 12 5 2 3" xfId="1873"/>
    <cellStyle name="Moneda 12 5 3" xfId="1875"/>
    <cellStyle name="Moneda 12 5 4" xfId="1872"/>
    <cellStyle name="Moneda 12 6" xfId="366"/>
    <cellStyle name="Moneda 12 6 2" xfId="996"/>
    <cellStyle name="Moneda 12 6 2 2" xfId="1878"/>
    <cellStyle name="Moneda 12 6 2 3" xfId="1877"/>
    <cellStyle name="Moneda 12 6 3" xfId="1879"/>
    <cellStyle name="Moneda 12 6 4" xfId="1876"/>
    <cellStyle name="Moneda 12 7" xfId="524"/>
    <cellStyle name="Moneda 12 7 2" xfId="1154"/>
    <cellStyle name="Moneda 12 7 2 2" xfId="1882"/>
    <cellStyle name="Moneda 12 7 2 3" xfId="1881"/>
    <cellStyle name="Moneda 12 7 3" xfId="1883"/>
    <cellStyle name="Moneda 12 7 4" xfId="1880"/>
    <cellStyle name="Moneda 12 8" xfId="682"/>
    <cellStyle name="Moneda 12 8 2" xfId="1885"/>
    <cellStyle name="Moneda 12 8 3" xfId="1884"/>
    <cellStyle name="Moneda 12 9" xfId="1886"/>
    <cellStyle name="Moneda 13" xfId="37"/>
    <cellStyle name="Moneda 13 10" xfId="1887"/>
    <cellStyle name="Moneda 13 2" xfId="80"/>
    <cellStyle name="Moneda 13 2 2" xfId="158"/>
    <cellStyle name="Moneda 13 2 2 2" xfId="314"/>
    <cellStyle name="Moneda 13 2 2 2 2" xfId="945"/>
    <cellStyle name="Moneda 13 2 2 2 2 2" xfId="1892"/>
    <cellStyle name="Moneda 13 2 2 2 2 3" xfId="1891"/>
    <cellStyle name="Moneda 13 2 2 2 3" xfId="1893"/>
    <cellStyle name="Moneda 13 2 2 2 4" xfId="1890"/>
    <cellStyle name="Moneda 13 2 2 3" xfId="473"/>
    <cellStyle name="Moneda 13 2 2 3 2" xfId="1103"/>
    <cellStyle name="Moneda 13 2 2 3 2 2" xfId="1896"/>
    <cellStyle name="Moneda 13 2 2 3 2 3" xfId="1895"/>
    <cellStyle name="Moneda 13 2 2 3 3" xfId="1897"/>
    <cellStyle name="Moneda 13 2 2 3 4" xfId="1894"/>
    <cellStyle name="Moneda 13 2 2 4" xfId="631"/>
    <cellStyle name="Moneda 13 2 2 4 2" xfId="1261"/>
    <cellStyle name="Moneda 13 2 2 4 2 2" xfId="1900"/>
    <cellStyle name="Moneda 13 2 2 4 2 3" xfId="1899"/>
    <cellStyle name="Moneda 13 2 2 4 3" xfId="1901"/>
    <cellStyle name="Moneda 13 2 2 4 4" xfId="1898"/>
    <cellStyle name="Moneda 13 2 2 5" xfId="789"/>
    <cellStyle name="Moneda 13 2 2 5 2" xfId="1903"/>
    <cellStyle name="Moneda 13 2 2 5 3" xfId="1902"/>
    <cellStyle name="Moneda 13 2 2 6" xfId="1904"/>
    <cellStyle name="Moneda 13 2 2 7" xfId="1889"/>
    <cellStyle name="Moneda 13 2 3" xfId="236"/>
    <cellStyle name="Moneda 13 2 3 2" xfId="867"/>
    <cellStyle name="Moneda 13 2 3 2 2" xfId="1907"/>
    <cellStyle name="Moneda 13 2 3 2 3" xfId="1906"/>
    <cellStyle name="Moneda 13 2 3 3" xfId="1908"/>
    <cellStyle name="Moneda 13 2 3 4" xfId="1905"/>
    <cellStyle name="Moneda 13 2 4" xfId="395"/>
    <cellStyle name="Moneda 13 2 4 2" xfId="1025"/>
    <cellStyle name="Moneda 13 2 4 2 2" xfId="1911"/>
    <cellStyle name="Moneda 13 2 4 2 3" xfId="1910"/>
    <cellStyle name="Moneda 13 2 4 3" xfId="1912"/>
    <cellStyle name="Moneda 13 2 4 4" xfId="1909"/>
    <cellStyle name="Moneda 13 2 5" xfId="553"/>
    <cellStyle name="Moneda 13 2 5 2" xfId="1183"/>
    <cellStyle name="Moneda 13 2 5 2 2" xfId="1915"/>
    <cellStyle name="Moneda 13 2 5 2 3" xfId="1914"/>
    <cellStyle name="Moneda 13 2 5 3" xfId="1916"/>
    <cellStyle name="Moneda 13 2 5 4" xfId="1913"/>
    <cellStyle name="Moneda 13 2 6" xfId="711"/>
    <cellStyle name="Moneda 13 2 6 2" xfId="1918"/>
    <cellStyle name="Moneda 13 2 6 3" xfId="1917"/>
    <cellStyle name="Moneda 13 2 7" xfId="1919"/>
    <cellStyle name="Moneda 13 2 8" xfId="1888"/>
    <cellStyle name="Moneda 13 3" xfId="106"/>
    <cellStyle name="Moneda 13 3 2" xfId="184"/>
    <cellStyle name="Moneda 13 3 2 2" xfId="340"/>
    <cellStyle name="Moneda 13 3 2 2 2" xfId="971"/>
    <cellStyle name="Moneda 13 3 2 2 2 2" xfId="1924"/>
    <cellStyle name="Moneda 13 3 2 2 2 3" xfId="1923"/>
    <cellStyle name="Moneda 13 3 2 2 3" xfId="1925"/>
    <cellStyle name="Moneda 13 3 2 2 4" xfId="1922"/>
    <cellStyle name="Moneda 13 3 2 3" xfId="499"/>
    <cellStyle name="Moneda 13 3 2 3 2" xfId="1129"/>
    <cellStyle name="Moneda 13 3 2 3 2 2" xfId="1928"/>
    <cellStyle name="Moneda 13 3 2 3 2 3" xfId="1927"/>
    <cellStyle name="Moneda 13 3 2 3 3" xfId="1929"/>
    <cellStyle name="Moneda 13 3 2 3 4" xfId="1926"/>
    <cellStyle name="Moneda 13 3 2 4" xfId="657"/>
    <cellStyle name="Moneda 13 3 2 4 2" xfId="1287"/>
    <cellStyle name="Moneda 13 3 2 4 2 2" xfId="1932"/>
    <cellStyle name="Moneda 13 3 2 4 2 3" xfId="1931"/>
    <cellStyle name="Moneda 13 3 2 4 3" xfId="1933"/>
    <cellStyle name="Moneda 13 3 2 4 4" xfId="1930"/>
    <cellStyle name="Moneda 13 3 2 5" xfId="815"/>
    <cellStyle name="Moneda 13 3 2 5 2" xfId="1935"/>
    <cellStyle name="Moneda 13 3 2 5 3" xfId="1934"/>
    <cellStyle name="Moneda 13 3 2 6" xfId="1936"/>
    <cellStyle name="Moneda 13 3 2 7" xfId="1921"/>
    <cellStyle name="Moneda 13 3 3" xfId="262"/>
    <cellStyle name="Moneda 13 3 3 2" xfId="893"/>
    <cellStyle name="Moneda 13 3 3 2 2" xfId="1939"/>
    <cellStyle name="Moneda 13 3 3 2 3" xfId="1938"/>
    <cellStyle name="Moneda 13 3 3 3" xfId="1940"/>
    <cellStyle name="Moneda 13 3 3 4" xfId="1937"/>
    <cellStyle name="Moneda 13 3 4" xfId="421"/>
    <cellStyle name="Moneda 13 3 4 2" xfId="1051"/>
    <cellStyle name="Moneda 13 3 4 2 2" xfId="1943"/>
    <cellStyle name="Moneda 13 3 4 2 3" xfId="1942"/>
    <cellStyle name="Moneda 13 3 4 3" xfId="1944"/>
    <cellStyle name="Moneda 13 3 4 4" xfId="1941"/>
    <cellStyle name="Moneda 13 3 5" xfId="579"/>
    <cellStyle name="Moneda 13 3 5 2" xfId="1209"/>
    <cellStyle name="Moneda 13 3 5 2 2" xfId="1947"/>
    <cellStyle name="Moneda 13 3 5 2 3" xfId="1946"/>
    <cellStyle name="Moneda 13 3 5 3" xfId="1948"/>
    <cellStyle name="Moneda 13 3 5 4" xfId="1945"/>
    <cellStyle name="Moneda 13 3 6" xfId="737"/>
    <cellStyle name="Moneda 13 3 6 2" xfId="1950"/>
    <cellStyle name="Moneda 13 3 6 3" xfId="1949"/>
    <cellStyle name="Moneda 13 3 7" xfId="1951"/>
    <cellStyle name="Moneda 13 3 8" xfId="1920"/>
    <cellStyle name="Moneda 13 4" xfId="132"/>
    <cellStyle name="Moneda 13 4 2" xfId="288"/>
    <cellStyle name="Moneda 13 4 2 2" xfId="919"/>
    <cellStyle name="Moneda 13 4 2 2 2" xfId="1955"/>
    <cellStyle name="Moneda 13 4 2 2 3" xfId="1954"/>
    <cellStyle name="Moneda 13 4 2 3" xfId="1956"/>
    <cellStyle name="Moneda 13 4 2 4" xfId="1953"/>
    <cellStyle name="Moneda 13 4 3" xfId="447"/>
    <cellStyle name="Moneda 13 4 3 2" xfId="1077"/>
    <cellStyle name="Moneda 13 4 3 2 2" xfId="1959"/>
    <cellStyle name="Moneda 13 4 3 2 3" xfId="1958"/>
    <cellStyle name="Moneda 13 4 3 3" xfId="1960"/>
    <cellStyle name="Moneda 13 4 3 4" xfId="1957"/>
    <cellStyle name="Moneda 13 4 4" xfId="605"/>
    <cellStyle name="Moneda 13 4 4 2" xfId="1235"/>
    <cellStyle name="Moneda 13 4 4 2 2" xfId="1963"/>
    <cellStyle name="Moneda 13 4 4 2 3" xfId="1962"/>
    <cellStyle name="Moneda 13 4 4 3" xfId="1964"/>
    <cellStyle name="Moneda 13 4 4 4" xfId="1961"/>
    <cellStyle name="Moneda 13 4 5" xfId="763"/>
    <cellStyle name="Moneda 13 4 5 2" xfId="1966"/>
    <cellStyle name="Moneda 13 4 5 3" xfId="1965"/>
    <cellStyle name="Moneda 13 4 6" xfId="1967"/>
    <cellStyle name="Moneda 13 4 7" xfId="1952"/>
    <cellStyle name="Moneda 13 5" xfId="210"/>
    <cellStyle name="Moneda 13 5 2" xfId="841"/>
    <cellStyle name="Moneda 13 5 2 2" xfId="1970"/>
    <cellStyle name="Moneda 13 5 2 3" xfId="1969"/>
    <cellStyle name="Moneda 13 5 3" xfId="1971"/>
    <cellStyle name="Moneda 13 5 4" xfId="1968"/>
    <cellStyle name="Moneda 13 6" xfId="369"/>
    <cellStyle name="Moneda 13 6 2" xfId="999"/>
    <cellStyle name="Moneda 13 6 2 2" xfId="1974"/>
    <cellStyle name="Moneda 13 6 2 3" xfId="1973"/>
    <cellStyle name="Moneda 13 6 3" xfId="1975"/>
    <cellStyle name="Moneda 13 6 4" xfId="1972"/>
    <cellStyle name="Moneda 13 7" xfId="527"/>
    <cellStyle name="Moneda 13 7 2" xfId="1157"/>
    <cellStyle name="Moneda 13 7 2 2" xfId="1978"/>
    <cellStyle name="Moneda 13 7 2 3" xfId="1977"/>
    <cellStyle name="Moneda 13 7 3" xfId="1979"/>
    <cellStyle name="Moneda 13 7 4" xfId="1976"/>
    <cellStyle name="Moneda 13 8" xfId="685"/>
    <cellStyle name="Moneda 13 8 2" xfId="1981"/>
    <cellStyle name="Moneda 13 8 3" xfId="1980"/>
    <cellStyle name="Moneda 13 9" xfId="1982"/>
    <cellStyle name="Moneda 14" xfId="36"/>
    <cellStyle name="Moneda 14 10" xfId="1983"/>
    <cellStyle name="Moneda 14 2" xfId="79"/>
    <cellStyle name="Moneda 14 2 2" xfId="157"/>
    <cellStyle name="Moneda 14 2 2 2" xfId="313"/>
    <cellStyle name="Moneda 14 2 2 2 2" xfId="944"/>
    <cellStyle name="Moneda 14 2 2 2 2 2" xfId="1988"/>
    <cellStyle name="Moneda 14 2 2 2 2 3" xfId="1987"/>
    <cellStyle name="Moneda 14 2 2 2 3" xfId="1989"/>
    <cellStyle name="Moneda 14 2 2 2 4" xfId="1986"/>
    <cellStyle name="Moneda 14 2 2 3" xfId="472"/>
    <cellStyle name="Moneda 14 2 2 3 2" xfId="1102"/>
    <cellStyle name="Moneda 14 2 2 3 2 2" xfId="1992"/>
    <cellStyle name="Moneda 14 2 2 3 2 3" xfId="1991"/>
    <cellStyle name="Moneda 14 2 2 3 3" xfId="1993"/>
    <cellStyle name="Moneda 14 2 2 3 4" xfId="1990"/>
    <cellStyle name="Moneda 14 2 2 4" xfId="630"/>
    <cellStyle name="Moneda 14 2 2 4 2" xfId="1260"/>
    <cellStyle name="Moneda 14 2 2 4 2 2" xfId="1996"/>
    <cellStyle name="Moneda 14 2 2 4 2 3" xfId="1995"/>
    <cellStyle name="Moneda 14 2 2 4 3" xfId="1997"/>
    <cellStyle name="Moneda 14 2 2 4 4" xfId="1994"/>
    <cellStyle name="Moneda 14 2 2 5" xfId="788"/>
    <cellStyle name="Moneda 14 2 2 5 2" xfId="1999"/>
    <cellStyle name="Moneda 14 2 2 5 3" xfId="1998"/>
    <cellStyle name="Moneda 14 2 2 6" xfId="2000"/>
    <cellStyle name="Moneda 14 2 2 7" xfId="1985"/>
    <cellStyle name="Moneda 14 2 3" xfId="235"/>
    <cellStyle name="Moneda 14 2 3 2" xfId="866"/>
    <cellStyle name="Moneda 14 2 3 2 2" xfId="2003"/>
    <cellStyle name="Moneda 14 2 3 2 3" xfId="2002"/>
    <cellStyle name="Moneda 14 2 3 3" xfId="2004"/>
    <cellStyle name="Moneda 14 2 3 4" xfId="2001"/>
    <cellStyle name="Moneda 14 2 4" xfId="394"/>
    <cellStyle name="Moneda 14 2 4 2" xfId="1024"/>
    <cellStyle name="Moneda 14 2 4 2 2" xfId="2007"/>
    <cellStyle name="Moneda 14 2 4 2 3" xfId="2006"/>
    <cellStyle name="Moneda 14 2 4 3" xfId="2008"/>
    <cellStyle name="Moneda 14 2 4 4" xfId="2005"/>
    <cellStyle name="Moneda 14 2 5" xfId="552"/>
    <cellStyle name="Moneda 14 2 5 2" xfId="1182"/>
    <cellStyle name="Moneda 14 2 5 2 2" xfId="2011"/>
    <cellStyle name="Moneda 14 2 5 2 3" xfId="2010"/>
    <cellStyle name="Moneda 14 2 5 3" xfId="2012"/>
    <cellStyle name="Moneda 14 2 5 4" xfId="2009"/>
    <cellStyle name="Moneda 14 2 6" xfId="710"/>
    <cellStyle name="Moneda 14 2 6 2" xfId="2014"/>
    <cellStyle name="Moneda 14 2 6 3" xfId="2013"/>
    <cellStyle name="Moneda 14 2 7" xfId="2015"/>
    <cellStyle name="Moneda 14 2 8" xfId="1984"/>
    <cellStyle name="Moneda 14 3" xfId="105"/>
    <cellStyle name="Moneda 14 3 2" xfId="183"/>
    <cellStyle name="Moneda 14 3 2 2" xfId="339"/>
    <cellStyle name="Moneda 14 3 2 2 2" xfId="970"/>
    <cellStyle name="Moneda 14 3 2 2 2 2" xfId="2020"/>
    <cellStyle name="Moneda 14 3 2 2 2 3" xfId="2019"/>
    <cellStyle name="Moneda 14 3 2 2 3" xfId="2021"/>
    <cellStyle name="Moneda 14 3 2 2 4" xfId="2018"/>
    <cellStyle name="Moneda 14 3 2 3" xfId="498"/>
    <cellStyle name="Moneda 14 3 2 3 2" xfId="1128"/>
    <cellStyle name="Moneda 14 3 2 3 2 2" xfId="2024"/>
    <cellStyle name="Moneda 14 3 2 3 2 3" xfId="2023"/>
    <cellStyle name="Moneda 14 3 2 3 3" xfId="2025"/>
    <cellStyle name="Moneda 14 3 2 3 4" xfId="2022"/>
    <cellStyle name="Moneda 14 3 2 4" xfId="656"/>
    <cellStyle name="Moneda 14 3 2 4 2" xfId="1286"/>
    <cellStyle name="Moneda 14 3 2 4 2 2" xfId="2028"/>
    <cellStyle name="Moneda 14 3 2 4 2 3" xfId="2027"/>
    <cellStyle name="Moneda 14 3 2 4 3" xfId="2029"/>
    <cellStyle name="Moneda 14 3 2 4 4" xfId="2026"/>
    <cellStyle name="Moneda 14 3 2 5" xfId="814"/>
    <cellStyle name="Moneda 14 3 2 5 2" xfId="2031"/>
    <cellStyle name="Moneda 14 3 2 5 3" xfId="2030"/>
    <cellStyle name="Moneda 14 3 2 6" xfId="2032"/>
    <cellStyle name="Moneda 14 3 2 7" xfId="2017"/>
    <cellStyle name="Moneda 14 3 3" xfId="261"/>
    <cellStyle name="Moneda 14 3 3 2" xfId="892"/>
    <cellStyle name="Moneda 14 3 3 2 2" xfId="2035"/>
    <cellStyle name="Moneda 14 3 3 2 3" xfId="2034"/>
    <cellStyle name="Moneda 14 3 3 3" xfId="2036"/>
    <cellStyle name="Moneda 14 3 3 4" xfId="2033"/>
    <cellStyle name="Moneda 14 3 4" xfId="420"/>
    <cellStyle name="Moneda 14 3 4 2" xfId="1050"/>
    <cellStyle name="Moneda 14 3 4 2 2" xfId="2039"/>
    <cellStyle name="Moneda 14 3 4 2 3" xfId="2038"/>
    <cellStyle name="Moneda 14 3 4 3" xfId="2040"/>
    <cellStyle name="Moneda 14 3 4 4" xfId="2037"/>
    <cellStyle name="Moneda 14 3 5" xfId="578"/>
    <cellStyle name="Moneda 14 3 5 2" xfId="1208"/>
    <cellStyle name="Moneda 14 3 5 2 2" xfId="2043"/>
    <cellStyle name="Moneda 14 3 5 2 3" xfId="2042"/>
    <cellStyle name="Moneda 14 3 5 3" xfId="2044"/>
    <cellStyle name="Moneda 14 3 5 4" xfId="2041"/>
    <cellStyle name="Moneda 14 3 6" xfId="736"/>
    <cellStyle name="Moneda 14 3 6 2" xfId="2046"/>
    <cellStyle name="Moneda 14 3 6 3" xfId="2045"/>
    <cellStyle name="Moneda 14 3 7" xfId="2047"/>
    <cellStyle name="Moneda 14 3 8" xfId="2016"/>
    <cellStyle name="Moneda 14 4" xfId="131"/>
    <cellStyle name="Moneda 14 4 2" xfId="287"/>
    <cellStyle name="Moneda 14 4 2 2" xfId="918"/>
    <cellStyle name="Moneda 14 4 2 2 2" xfId="2051"/>
    <cellStyle name="Moneda 14 4 2 2 3" xfId="2050"/>
    <cellStyle name="Moneda 14 4 2 3" xfId="2052"/>
    <cellStyle name="Moneda 14 4 2 4" xfId="2049"/>
    <cellStyle name="Moneda 14 4 3" xfId="446"/>
    <cellStyle name="Moneda 14 4 3 2" xfId="1076"/>
    <cellStyle name="Moneda 14 4 3 2 2" xfId="2055"/>
    <cellStyle name="Moneda 14 4 3 2 3" xfId="2054"/>
    <cellStyle name="Moneda 14 4 3 3" xfId="2056"/>
    <cellStyle name="Moneda 14 4 3 4" xfId="2053"/>
    <cellStyle name="Moneda 14 4 4" xfId="604"/>
    <cellStyle name="Moneda 14 4 4 2" xfId="1234"/>
    <cellStyle name="Moneda 14 4 4 2 2" xfId="2059"/>
    <cellStyle name="Moneda 14 4 4 2 3" xfId="2058"/>
    <cellStyle name="Moneda 14 4 4 3" xfId="2060"/>
    <cellStyle name="Moneda 14 4 4 4" xfId="2057"/>
    <cellStyle name="Moneda 14 4 5" xfId="762"/>
    <cellStyle name="Moneda 14 4 5 2" xfId="2062"/>
    <cellStyle name="Moneda 14 4 5 3" xfId="2061"/>
    <cellStyle name="Moneda 14 4 6" xfId="2063"/>
    <cellStyle name="Moneda 14 4 7" xfId="2048"/>
    <cellStyle name="Moneda 14 5" xfId="209"/>
    <cellStyle name="Moneda 14 5 2" xfId="840"/>
    <cellStyle name="Moneda 14 5 2 2" xfId="2066"/>
    <cellStyle name="Moneda 14 5 2 3" xfId="2065"/>
    <cellStyle name="Moneda 14 5 3" xfId="2067"/>
    <cellStyle name="Moneda 14 5 4" xfId="2064"/>
    <cellStyle name="Moneda 14 6" xfId="368"/>
    <cellStyle name="Moneda 14 6 2" xfId="998"/>
    <cellStyle name="Moneda 14 6 2 2" xfId="2070"/>
    <cellStyle name="Moneda 14 6 2 3" xfId="2069"/>
    <cellStyle name="Moneda 14 6 3" xfId="2071"/>
    <cellStyle name="Moneda 14 6 4" xfId="2068"/>
    <cellStyle name="Moneda 14 7" xfId="526"/>
    <cellStyle name="Moneda 14 7 2" xfId="1156"/>
    <cellStyle name="Moneda 14 7 2 2" xfId="2074"/>
    <cellStyle name="Moneda 14 7 2 3" xfId="2073"/>
    <cellStyle name="Moneda 14 7 3" xfId="2075"/>
    <cellStyle name="Moneda 14 7 4" xfId="2072"/>
    <cellStyle name="Moneda 14 8" xfId="684"/>
    <cellStyle name="Moneda 14 8 2" xfId="2077"/>
    <cellStyle name="Moneda 14 8 3" xfId="2076"/>
    <cellStyle name="Moneda 14 9" xfId="2078"/>
    <cellStyle name="Moneda 15" xfId="38"/>
    <cellStyle name="Moneda 15 10" xfId="2079"/>
    <cellStyle name="Moneda 15 2" xfId="81"/>
    <cellStyle name="Moneda 15 2 2" xfId="159"/>
    <cellStyle name="Moneda 15 2 2 2" xfId="315"/>
    <cellStyle name="Moneda 15 2 2 2 2" xfId="946"/>
    <cellStyle name="Moneda 15 2 2 2 2 2" xfId="2084"/>
    <cellStyle name="Moneda 15 2 2 2 2 3" xfId="2083"/>
    <cellStyle name="Moneda 15 2 2 2 3" xfId="2085"/>
    <cellStyle name="Moneda 15 2 2 2 4" xfId="2082"/>
    <cellStyle name="Moneda 15 2 2 3" xfId="474"/>
    <cellStyle name="Moneda 15 2 2 3 2" xfId="1104"/>
    <cellStyle name="Moneda 15 2 2 3 2 2" xfId="2088"/>
    <cellStyle name="Moneda 15 2 2 3 2 3" xfId="2087"/>
    <cellStyle name="Moneda 15 2 2 3 3" xfId="2089"/>
    <cellStyle name="Moneda 15 2 2 3 4" xfId="2086"/>
    <cellStyle name="Moneda 15 2 2 4" xfId="632"/>
    <cellStyle name="Moneda 15 2 2 4 2" xfId="1262"/>
    <cellStyle name="Moneda 15 2 2 4 2 2" xfId="2092"/>
    <cellStyle name="Moneda 15 2 2 4 2 3" xfId="2091"/>
    <cellStyle name="Moneda 15 2 2 4 3" xfId="2093"/>
    <cellStyle name="Moneda 15 2 2 4 4" xfId="2090"/>
    <cellStyle name="Moneda 15 2 2 5" xfId="790"/>
    <cellStyle name="Moneda 15 2 2 5 2" xfId="2095"/>
    <cellStyle name="Moneda 15 2 2 5 3" xfId="2094"/>
    <cellStyle name="Moneda 15 2 2 6" xfId="2096"/>
    <cellStyle name="Moneda 15 2 2 7" xfId="2081"/>
    <cellStyle name="Moneda 15 2 3" xfId="237"/>
    <cellStyle name="Moneda 15 2 3 2" xfId="868"/>
    <cellStyle name="Moneda 15 2 3 2 2" xfId="2099"/>
    <cellStyle name="Moneda 15 2 3 2 3" xfId="2098"/>
    <cellStyle name="Moneda 15 2 3 3" xfId="2100"/>
    <cellStyle name="Moneda 15 2 3 4" xfId="2097"/>
    <cellStyle name="Moneda 15 2 4" xfId="396"/>
    <cellStyle name="Moneda 15 2 4 2" xfId="1026"/>
    <cellStyle name="Moneda 15 2 4 2 2" xfId="2103"/>
    <cellStyle name="Moneda 15 2 4 2 3" xfId="2102"/>
    <cellStyle name="Moneda 15 2 4 3" xfId="2104"/>
    <cellStyle name="Moneda 15 2 4 4" xfId="2101"/>
    <cellStyle name="Moneda 15 2 5" xfId="554"/>
    <cellStyle name="Moneda 15 2 5 2" xfId="1184"/>
    <cellStyle name="Moneda 15 2 5 2 2" xfId="2107"/>
    <cellStyle name="Moneda 15 2 5 2 3" xfId="2106"/>
    <cellStyle name="Moneda 15 2 5 3" xfId="2108"/>
    <cellStyle name="Moneda 15 2 5 4" xfId="2105"/>
    <cellStyle name="Moneda 15 2 6" xfId="712"/>
    <cellStyle name="Moneda 15 2 6 2" xfId="2110"/>
    <cellStyle name="Moneda 15 2 6 3" xfId="2109"/>
    <cellStyle name="Moneda 15 2 7" xfId="2111"/>
    <cellStyle name="Moneda 15 2 8" xfId="2080"/>
    <cellStyle name="Moneda 15 3" xfId="107"/>
    <cellStyle name="Moneda 15 3 2" xfId="185"/>
    <cellStyle name="Moneda 15 3 2 2" xfId="341"/>
    <cellStyle name="Moneda 15 3 2 2 2" xfId="972"/>
    <cellStyle name="Moneda 15 3 2 2 2 2" xfId="2116"/>
    <cellStyle name="Moneda 15 3 2 2 2 3" xfId="2115"/>
    <cellStyle name="Moneda 15 3 2 2 3" xfId="2117"/>
    <cellStyle name="Moneda 15 3 2 2 4" xfId="2114"/>
    <cellStyle name="Moneda 15 3 2 3" xfId="500"/>
    <cellStyle name="Moneda 15 3 2 3 2" xfId="1130"/>
    <cellStyle name="Moneda 15 3 2 3 2 2" xfId="2120"/>
    <cellStyle name="Moneda 15 3 2 3 2 3" xfId="2119"/>
    <cellStyle name="Moneda 15 3 2 3 3" xfId="2121"/>
    <cellStyle name="Moneda 15 3 2 3 4" xfId="2118"/>
    <cellStyle name="Moneda 15 3 2 4" xfId="658"/>
    <cellStyle name="Moneda 15 3 2 4 2" xfId="1288"/>
    <cellStyle name="Moneda 15 3 2 4 2 2" xfId="2124"/>
    <cellStyle name="Moneda 15 3 2 4 2 3" xfId="2123"/>
    <cellStyle name="Moneda 15 3 2 4 3" xfId="2125"/>
    <cellStyle name="Moneda 15 3 2 4 4" xfId="2122"/>
    <cellStyle name="Moneda 15 3 2 5" xfId="816"/>
    <cellStyle name="Moneda 15 3 2 5 2" xfId="2127"/>
    <cellStyle name="Moneda 15 3 2 5 3" xfId="2126"/>
    <cellStyle name="Moneda 15 3 2 6" xfId="2128"/>
    <cellStyle name="Moneda 15 3 2 7" xfId="2113"/>
    <cellStyle name="Moneda 15 3 3" xfId="263"/>
    <cellStyle name="Moneda 15 3 3 2" xfId="894"/>
    <cellStyle name="Moneda 15 3 3 2 2" xfId="2131"/>
    <cellStyle name="Moneda 15 3 3 2 3" xfId="2130"/>
    <cellStyle name="Moneda 15 3 3 3" xfId="2132"/>
    <cellStyle name="Moneda 15 3 3 4" xfId="2129"/>
    <cellStyle name="Moneda 15 3 4" xfId="422"/>
    <cellStyle name="Moneda 15 3 4 2" xfId="1052"/>
    <cellStyle name="Moneda 15 3 4 2 2" xfId="2135"/>
    <cellStyle name="Moneda 15 3 4 2 3" xfId="2134"/>
    <cellStyle name="Moneda 15 3 4 3" xfId="2136"/>
    <cellStyle name="Moneda 15 3 4 4" xfId="2133"/>
    <cellStyle name="Moneda 15 3 5" xfId="580"/>
    <cellStyle name="Moneda 15 3 5 2" xfId="1210"/>
    <cellStyle name="Moneda 15 3 5 2 2" xfId="2139"/>
    <cellStyle name="Moneda 15 3 5 2 3" xfId="2138"/>
    <cellStyle name="Moneda 15 3 5 3" xfId="2140"/>
    <cellStyle name="Moneda 15 3 5 4" xfId="2137"/>
    <cellStyle name="Moneda 15 3 6" xfId="738"/>
    <cellStyle name="Moneda 15 3 6 2" xfId="2142"/>
    <cellStyle name="Moneda 15 3 6 3" xfId="2141"/>
    <cellStyle name="Moneda 15 3 7" xfId="2143"/>
    <cellStyle name="Moneda 15 3 8" xfId="2112"/>
    <cellStyle name="Moneda 15 4" xfId="133"/>
    <cellStyle name="Moneda 15 4 2" xfId="289"/>
    <cellStyle name="Moneda 15 4 2 2" xfId="920"/>
    <cellStyle name="Moneda 15 4 2 2 2" xfId="2147"/>
    <cellStyle name="Moneda 15 4 2 2 3" xfId="2146"/>
    <cellStyle name="Moneda 15 4 2 3" xfId="2148"/>
    <cellStyle name="Moneda 15 4 2 4" xfId="2145"/>
    <cellStyle name="Moneda 15 4 3" xfId="448"/>
    <cellStyle name="Moneda 15 4 3 2" xfId="1078"/>
    <cellStyle name="Moneda 15 4 3 2 2" xfId="2151"/>
    <cellStyle name="Moneda 15 4 3 2 3" xfId="2150"/>
    <cellStyle name="Moneda 15 4 3 3" xfId="2152"/>
    <cellStyle name="Moneda 15 4 3 4" xfId="2149"/>
    <cellStyle name="Moneda 15 4 4" xfId="606"/>
    <cellStyle name="Moneda 15 4 4 2" xfId="1236"/>
    <cellStyle name="Moneda 15 4 4 2 2" xfId="2155"/>
    <cellStyle name="Moneda 15 4 4 2 3" xfId="2154"/>
    <cellStyle name="Moneda 15 4 4 3" xfId="2156"/>
    <cellStyle name="Moneda 15 4 4 4" xfId="2153"/>
    <cellStyle name="Moneda 15 4 5" xfId="764"/>
    <cellStyle name="Moneda 15 4 5 2" xfId="2158"/>
    <cellStyle name="Moneda 15 4 5 3" xfId="2157"/>
    <cellStyle name="Moneda 15 4 6" xfId="2159"/>
    <cellStyle name="Moneda 15 4 7" xfId="2144"/>
    <cellStyle name="Moneda 15 5" xfId="211"/>
    <cellStyle name="Moneda 15 5 2" xfId="842"/>
    <cellStyle name="Moneda 15 5 2 2" xfId="2162"/>
    <cellStyle name="Moneda 15 5 2 3" xfId="2161"/>
    <cellStyle name="Moneda 15 5 3" xfId="2163"/>
    <cellStyle name="Moneda 15 5 4" xfId="2160"/>
    <cellStyle name="Moneda 15 6" xfId="370"/>
    <cellStyle name="Moneda 15 6 2" xfId="1000"/>
    <cellStyle name="Moneda 15 6 2 2" xfId="2166"/>
    <cellStyle name="Moneda 15 6 2 3" xfId="2165"/>
    <cellStyle name="Moneda 15 6 3" xfId="2167"/>
    <cellStyle name="Moneda 15 6 4" xfId="2164"/>
    <cellStyle name="Moneda 15 7" xfId="528"/>
    <cellStyle name="Moneda 15 7 2" xfId="1158"/>
    <cellStyle name="Moneda 15 7 2 2" xfId="2170"/>
    <cellStyle name="Moneda 15 7 2 3" xfId="2169"/>
    <cellStyle name="Moneda 15 7 3" xfId="2171"/>
    <cellStyle name="Moneda 15 7 4" xfId="2168"/>
    <cellStyle name="Moneda 15 8" xfId="686"/>
    <cellStyle name="Moneda 15 8 2" xfId="2173"/>
    <cellStyle name="Moneda 15 8 3" xfId="2172"/>
    <cellStyle name="Moneda 15 9" xfId="2174"/>
    <cellStyle name="Moneda 16" xfId="347"/>
    <cellStyle name="Moneda 16 2" xfId="506"/>
    <cellStyle name="Moneda 16 2 2" xfId="1136"/>
    <cellStyle name="Moneda 16 2 2 2" xfId="2178"/>
    <cellStyle name="Moneda 16 2 2 3" xfId="2177"/>
    <cellStyle name="Moneda 16 2 3" xfId="2179"/>
    <cellStyle name="Moneda 16 2 4" xfId="2176"/>
    <cellStyle name="Moneda 16 3" xfId="664"/>
    <cellStyle name="Moneda 16 3 2" xfId="1294"/>
    <cellStyle name="Moneda 16 3 2 2" xfId="2182"/>
    <cellStyle name="Moneda 16 3 2 3" xfId="2181"/>
    <cellStyle name="Moneda 16 3 3" xfId="1297"/>
    <cellStyle name="Moneda 16 3 3 2" xfId="2183"/>
    <cellStyle name="Moneda 16 3 4" xfId="1301"/>
    <cellStyle name="Moneda 16 3 4 2" xfId="2184"/>
    <cellStyle name="Moneda 16 3 5" xfId="1305"/>
    <cellStyle name="Moneda 16 3 5 2" xfId="2185"/>
    <cellStyle name="Moneda 16 3 6" xfId="2186"/>
    <cellStyle name="Moneda 16 3 7" xfId="2187"/>
    <cellStyle name="Moneda 16 3 8" xfId="2180"/>
    <cellStyle name="Moneda 16 4" xfId="978"/>
    <cellStyle name="Moneda 16 4 2" xfId="2189"/>
    <cellStyle name="Moneda 16 4 3" xfId="2188"/>
    <cellStyle name="Moneda 16 5" xfId="2190"/>
    <cellStyle name="Moneda 16 6" xfId="2175"/>
    <cellStyle name="Moneda 2" xfId="5"/>
    <cellStyle name="Moneda 2 10" xfId="667"/>
    <cellStyle name="Moneda 2 10 2" xfId="2193"/>
    <cellStyle name="Moneda 2 10 3" xfId="2192"/>
    <cellStyle name="Moneda 2 11" xfId="18"/>
    <cellStyle name="Moneda 2 11 2" xfId="2194"/>
    <cellStyle name="Moneda 2 12" xfId="2191"/>
    <cellStyle name="Moneda 2 2" xfId="12"/>
    <cellStyle name="Moneda 2 2 2" xfId="46"/>
    <cellStyle name="Moneda 2 3" xfId="45"/>
    <cellStyle name="Moneda 2 4" xfId="62"/>
    <cellStyle name="Moneda 2 4 2" xfId="140"/>
    <cellStyle name="Moneda 2 4 2 2" xfId="296"/>
    <cellStyle name="Moneda 2 4 2 2 2" xfId="927"/>
    <cellStyle name="Moneda 2 4 2 2 2 2" xfId="2199"/>
    <cellStyle name="Moneda 2 4 2 2 2 3" xfId="2198"/>
    <cellStyle name="Moneda 2 4 2 2 3" xfId="2200"/>
    <cellStyle name="Moneda 2 4 2 2 4" xfId="2197"/>
    <cellStyle name="Moneda 2 4 2 3" xfId="455"/>
    <cellStyle name="Moneda 2 4 2 3 2" xfId="1085"/>
    <cellStyle name="Moneda 2 4 2 3 2 2" xfId="2203"/>
    <cellStyle name="Moneda 2 4 2 3 2 3" xfId="2202"/>
    <cellStyle name="Moneda 2 4 2 3 3" xfId="2204"/>
    <cellStyle name="Moneda 2 4 2 3 4" xfId="2201"/>
    <cellStyle name="Moneda 2 4 2 4" xfId="613"/>
    <cellStyle name="Moneda 2 4 2 4 2" xfId="1243"/>
    <cellStyle name="Moneda 2 4 2 4 2 2" xfId="2207"/>
    <cellStyle name="Moneda 2 4 2 4 2 3" xfId="2206"/>
    <cellStyle name="Moneda 2 4 2 4 3" xfId="2208"/>
    <cellStyle name="Moneda 2 4 2 4 4" xfId="2205"/>
    <cellStyle name="Moneda 2 4 2 5" xfId="771"/>
    <cellStyle name="Moneda 2 4 2 5 2" xfId="2210"/>
    <cellStyle name="Moneda 2 4 2 5 3" xfId="2209"/>
    <cellStyle name="Moneda 2 4 2 6" xfId="2211"/>
    <cellStyle name="Moneda 2 4 2 7" xfId="2196"/>
    <cellStyle name="Moneda 2 4 3" xfId="218"/>
    <cellStyle name="Moneda 2 4 3 2" xfId="849"/>
    <cellStyle name="Moneda 2 4 3 2 2" xfId="2214"/>
    <cellStyle name="Moneda 2 4 3 2 3" xfId="2213"/>
    <cellStyle name="Moneda 2 4 3 3" xfId="2215"/>
    <cellStyle name="Moneda 2 4 3 4" xfId="2212"/>
    <cellStyle name="Moneda 2 4 4" xfId="377"/>
    <cellStyle name="Moneda 2 4 4 2" xfId="1007"/>
    <cellStyle name="Moneda 2 4 4 2 2" xfId="2218"/>
    <cellStyle name="Moneda 2 4 4 2 3" xfId="2217"/>
    <cellStyle name="Moneda 2 4 4 3" xfId="2219"/>
    <cellStyle name="Moneda 2 4 4 4" xfId="2216"/>
    <cellStyle name="Moneda 2 4 5" xfId="535"/>
    <cellStyle name="Moneda 2 4 5 2" xfId="1165"/>
    <cellStyle name="Moneda 2 4 5 2 2" xfId="2222"/>
    <cellStyle name="Moneda 2 4 5 2 3" xfId="2221"/>
    <cellStyle name="Moneda 2 4 5 3" xfId="2223"/>
    <cellStyle name="Moneda 2 4 5 4" xfId="2220"/>
    <cellStyle name="Moneda 2 4 6" xfId="693"/>
    <cellStyle name="Moneda 2 4 6 2" xfId="2225"/>
    <cellStyle name="Moneda 2 4 6 3" xfId="2224"/>
    <cellStyle name="Moneda 2 4 7" xfId="2226"/>
    <cellStyle name="Moneda 2 4 8" xfId="2195"/>
    <cellStyle name="Moneda 2 5" xfId="88"/>
    <cellStyle name="Moneda 2 5 2" xfId="166"/>
    <cellStyle name="Moneda 2 5 2 2" xfId="322"/>
    <cellStyle name="Moneda 2 5 2 2 2" xfId="953"/>
    <cellStyle name="Moneda 2 5 2 2 2 2" xfId="2231"/>
    <cellStyle name="Moneda 2 5 2 2 2 3" xfId="2230"/>
    <cellStyle name="Moneda 2 5 2 2 3" xfId="2232"/>
    <cellStyle name="Moneda 2 5 2 2 4" xfId="2229"/>
    <cellStyle name="Moneda 2 5 2 3" xfId="481"/>
    <cellStyle name="Moneda 2 5 2 3 2" xfId="1111"/>
    <cellStyle name="Moneda 2 5 2 3 2 2" xfId="2235"/>
    <cellStyle name="Moneda 2 5 2 3 2 3" xfId="2234"/>
    <cellStyle name="Moneda 2 5 2 3 3" xfId="2236"/>
    <cellStyle name="Moneda 2 5 2 3 4" xfId="2233"/>
    <cellStyle name="Moneda 2 5 2 4" xfId="639"/>
    <cellStyle name="Moneda 2 5 2 4 2" xfId="1269"/>
    <cellStyle name="Moneda 2 5 2 4 2 2" xfId="2239"/>
    <cellStyle name="Moneda 2 5 2 4 2 3" xfId="2238"/>
    <cellStyle name="Moneda 2 5 2 4 3" xfId="2240"/>
    <cellStyle name="Moneda 2 5 2 4 4" xfId="2237"/>
    <cellStyle name="Moneda 2 5 2 5" xfId="797"/>
    <cellStyle name="Moneda 2 5 2 5 2" xfId="2242"/>
    <cellStyle name="Moneda 2 5 2 5 3" xfId="2241"/>
    <cellStyle name="Moneda 2 5 2 6" xfId="2243"/>
    <cellStyle name="Moneda 2 5 2 7" xfId="2228"/>
    <cellStyle name="Moneda 2 5 3" xfId="244"/>
    <cellStyle name="Moneda 2 5 3 2" xfId="875"/>
    <cellStyle name="Moneda 2 5 3 2 2" xfId="2246"/>
    <cellStyle name="Moneda 2 5 3 2 3" xfId="2245"/>
    <cellStyle name="Moneda 2 5 3 3" xfId="2247"/>
    <cellStyle name="Moneda 2 5 3 4" xfId="2244"/>
    <cellStyle name="Moneda 2 5 4" xfId="403"/>
    <cellStyle name="Moneda 2 5 4 2" xfId="1033"/>
    <cellStyle name="Moneda 2 5 4 2 2" xfId="2250"/>
    <cellStyle name="Moneda 2 5 4 2 3" xfId="2249"/>
    <cellStyle name="Moneda 2 5 4 3" xfId="2251"/>
    <cellStyle name="Moneda 2 5 4 4" xfId="2248"/>
    <cellStyle name="Moneda 2 5 5" xfId="561"/>
    <cellStyle name="Moneda 2 5 5 2" xfId="1191"/>
    <cellStyle name="Moneda 2 5 5 2 2" xfId="2254"/>
    <cellStyle name="Moneda 2 5 5 2 3" xfId="2253"/>
    <cellStyle name="Moneda 2 5 5 3" xfId="2255"/>
    <cellStyle name="Moneda 2 5 5 4" xfId="2252"/>
    <cellStyle name="Moneda 2 5 6" xfId="719"/>
    <cellStyle name="Moneda 2 5 6 2" xfId="2257"/>
    <cellStyle name="Moneda 2 5 6 3" xfId="2256"/>
    <cellStyle name="Moneda 2 5 7" xfId="2258"/>
    <cellStyle name="Moneda 2 5 8" xfId="2227"/>
    <cellStyle name="Moneda 2 6" xfId="114"/>
    <cellStyle name="Moneda 2 6 2" xfId="270"/>
    <cellStyle name="Moneda 2 6 2 2" xfId="901"/>
    <cellStyle name="Moneda 2 6 2 2 2" xfId="2262"/>
    <cellStyle name="Moneda 2 6 2 2 3" xfId="2261"/>
    <cellStyle name="Moneda 2 6 2 3" xfId="2263"/>
    <cellStyle name="Moneda 2 6 2 4" xfId="2260"/>
    <cellStyle name="Moneda 2 6 3" xfId="429"/>
    <cellStyle name="Moneda 2 6 3 2" xfId="1059"/>
    <cellStyle name="Moneda 2 6 3 2 2" xfId="2266"/>
    <cellStyle name="Moneda 2 6 3 2 3" xfId="2265"/>
    <cellStyle name="Moneda 2 6 3 3" xfId="2267"/>
    <cellStyle name="Moneda 2 6 3 4" xfId="2264"/>
    <cellStyle name="Moneda 2 6 4" xfId="587"/>
    <cellStyle name="Moneda 2 6 4 2" xfId="1217"/>
    <cellStyle name="Moneda 2 6 4 2 2" xfId="2270"/>
    <cellStyle name="Moneda 2 6 4 2 3" xfId="2269"/>
    <cellStyle name="Moneda 2 6 4 3" xfId="2271"/>
    <cellStyle name="Moneda 2 6 4 4" xfId="2268"/>
    <cellStyle name="Moneda 2 6 5" xfId="745"/>
    <cellStyle name="Moneda 2 6 5 2" xfId="2273"/>
    <cellStyle name="Moneda 2 6 5 3" xfId="2272"/>
    <cellStyle name="Moneda 2 6 6" xfId="2274"/>
    <cellStyle name="Moneda 2 6 7" xfId="2259"/>
    <cellStyle name="Moneda 2 7" xfId="192"/>
    <cellStyle name="Moneda 2 7 2" xfId="823"/>
    <cellStyle name="Moneda 2 7 2 2" xfId="2277"/>
    <cellStyle name="Moneda 2 7 2 3" xfId="2276"/>
    <cellStyle name="Moneda 2 7 3" xfId="2278"/>
    <cellStyle name="Moneda 2 7 4" xfId="2275"/>
    <cellStyle name="Moneda 2 8" xfId="351"/>
    <cellStyle name="Moneda 2 8 2" xfId="981"/>
    <cellStyle name="Moneda 2 8 2 2" xfId="2281"/>
    <cellStyle name="Moneda 2 8 2 3" xfId="2280"/>
    <cellStyle name="Moneda 2 8 3" xfId="2282"/>
    <cellStyle name="Moneda 2 8 4" xfId="2279"/>
    <cellStyle name="Moneda 2 9" xfId="509"/>
    <cellStyle name="Moneda 2 9 2" xfId="1139"/>
    <cellStyle name="Moneda 2 9 2 2" xfId="2285"/>
    <cellStyle name="Moneda 2 9 2 3" xfId="2284"/>
    <cellStyle name="Moneda 2 9 3" xfId="2286"/>
    <cellStyle name="Moneda 2 9 4" xfId="2283"/>
    <cellStyle name="Moneda 3" xfId="29"/>
    <cellStyle name="Moneda 3 10" xfId="678"/>
    <cellStyle name="Moneda 3 10 2" xfId="2289"/>
    <cellStyle name="Moneda 3 10 3" xfId="2288"/>
    <cellStyle name="Moneda 3 11" xfId="2290"/>
    <cellStyle name="Moneda 3 12" xfId="2287"/>
    <cellStyle name="Moneda 3 2" xfId="48"/>
    <cellStyle name="Moneda 3 3" xfId="47"/>
    <cellStyle name="Moneda 3 4" xfId="73"/>
    <cellStyle name="Moneda 3 4 2" xfId="151"/>
    <cellStyle name="Moneda 3 4 2 2" xfId="307"/>
    <cellStyle name="Moneda 3 4 2 2 2" xfId="938"/>
    <cellStyle name="Moneda 3 4 2 2 2 2" xfId="2295"/>
    <cellStyle name="Moneda 3 4 2 2 2 3" xfId="2294"/>
    <cellStyle name="Moneda 3 4 2 2 3" xfId="2296"/>
    <cellStyle name="Moneda 3 4 2 2 4" xfId="2293"/>
    <cellStyle name="Moneda 3 4 2 3" xfId="466"/>
    <cellStyle name="Moneda 3 4 2 3 2" xfId="1096"/>
    <cellStyle name="Moneda 3 4 2 3 2 2" xfId="2299"/>
    <cellStyle name="Moneda 3 4 2 3 2 3" xfId="2298"/>
    <cellStyle name="Moneda 3 4 2 3 3" xfId="2300"/>
    <cellStyle name="Moneda 3 4 2 3 4" xfId="2297"/>
    <cellStyle name="Moneda 3 4 2 4" xfId="624"/>
    <cellStyle name="Moneda 3 4 2 4 2" xfId="1254"/>
    <cellStyle name="Moneda 3 4 2 4 2 2" xfId="2303"/>
    <cellStyle name="Moneda 3 4 2 4 2 3" xfId="2302"/>
    <cellStyle name="Moneda 3 4 2 4 3" xfId="2304"/>
    <cellStyle name="Moneda 3 4 2 4 4" xfId="2301"/>
    <cellStyle name="Moneda 3 4 2 5" xfId="782"/>
    <cellStyle name="Moneda 3 4 2 5 2" xfId="2306"/>
    <cellStyle name="Moneda 3 4 2 5 3" xfId="2305"/>
    <cellStyle name="Moneda 3 4 2 6" xfId="2307"/>
    <cellStyle name="Moneda 3 4 2 7" xfId="2292"/>
    <cellStyle name="Moneda 3 4 3" xfId="229"/>
    <cellStyle name="Moneda 3 4 3 2" xfId="860"/>
    <cellStyle name="Moneda 3 4 3 2 2" xfId="2310"/>
    <cellStyle name="Moneda 3 4 3 2 3" xfId="2309"/>
    <cellStyle name="Moneda 3 4 3 3" xfId="2311"/>
    <cellStyle name="Moneda 3 4 3 4" xfId="2308"/>
    <cellStyle name="Moneda 3 4 4" xfId="388"/>
    <cellStyle name="Moneda 3 4 4 2" xfId="1018"/>
    <cellStyle name="Moneda 3 4 4 2 2" xfId="2314"/>
    <cellStyle name="Moneda 3 4 4 2 3" xfId="2313"/>
    <cellStyle name="Moneda 3 4 4 3" xfId="2315"/>
    <cellStyle name="Moneda 3 4 4 4" xfId="2312"/>
    <cellStyle name="Moneda 3 4 5" xfId="546"/>
    <cellStyle name="Moneda 3 4 5 2" xfId="1176"/>
    <cellStyle name="Moneda 3 4 5 2 2" xfId="2318"/>
    <cellStyle name="Moneda 3 4 5 2 3" xfId="2317"/>
    <cellStyle name="Moneda 3 4 5 3" xfId="2319"/>
    <cellStyle name="Moneda 3 4 5 4" xfId="2316"/>
    <cellStyle name="Moneda 3 4 6" xfId="704"/>
    <cellStyle name="Moneda 3 4 6 2" xfId="2321"/>
    <cellStyle name="Moneda 3 4 6 3" xfId="2320"/>
    <cellStyle name="Moneda 3 4 7" xfId="2322"/>
    <cellStyle name="Moneda 3 4 8" xfId="2291"/>
    <cellStyle name="Moneda 3 5" xfId="99"/>
    <cellStyle name="Moneda 3 5 2" xfId="177"/>
    <cellStyle name="Moneda 3 5 2 2" xfId="333"/>
    <cellStyle name="Moneda 3 5 2 2 2" xfId="964"/>
    <cellStyle name="Moneda 3 5 2 2 2 2" xfId="2327"/>
    <cellStyle name="Moneda 3 5 2 2 2 3" xfId="2326"/>
    <cellStyle name="Moneda 3 5 2 2 3" xfId="2328"/>
    <cellStyle name="Moneda 3 5 2 2 4" xfId="2325"/>
    <cellStyle name="Moneda 3 5 2 3" xfId="492"/>
    <cellStyle name="Moneda 3 5 2 3 2" xfId="1122"/>
    <cellStyle name="Moneda 3 5 2 3 2 2" xfId="2331"/>
    <cellStyle name="Moneda 3 5 2 3 2 3" xfId="2330"/>
    <cellStyle name="Moneda 3 5 2 3 3" xfId="2332"/>
    <cellStyle name="Moneda 3 5 2 3 4" xfId="2329"/>
    <cellStyle name="Moneda 3 5 2 4" xfId="650"/>
    <cellStyle name="Moneda 3 5 2 4 2" xfId="1280"/>
    <cellStyle name="Moneda 3 5 2 4 2 2" xfId="2335"/>
    <cellStyle name="Moneda 3 5 2 4 2 3" xfId="2334"/>
    <cellStyle name="Moneda 3 5 2 4 3" xfId="2336"/>
    <cellStyle name="Moneda 3 5 2 4 4" xfId="2333"/>
    <cellStyle name="Moneda 3 5 2 5" xfId="808"/>
    <cellStyle name="Moneda 3 5 2 5 2" xfId="2338"/>
    <cellStyle name="Moneda 3 5 2 5 3" xfId="2337"/>
    <cellStyle name="Moneda 3 5 2 6" xfId="2339"/>
    <cellStyle name="Moneda 3 5 2 7" xfId="2324"/>
    <cellStyle name="Moneda 3 5 3" xfId="255"/>
    <cellStyle name="Moneda 3 5 3 2" xfId="886"/>
    <cellStyle name="Moneda 3 5 3 2 2" xfId="2342"/>
    <cellStyle name="Moneda 3 5 3 2 3" xfId="2341"/>
    <cellStyle name="Moneda 3 5 3 3" xfId="2343"/>
    <cellStyle name="Moneda 3 5 3 4" xfId="2340"/>
    <cellStyle name="Moneda 3 5 4" xfId="414"/>
    <cellStyle name="Moneda 3 5 4 2" xfId="1044"/>
    <cellStyle name="Moneda 3 5 4 2 2" xfId="2346"/>
    <cellStyle name="Moneda 3 5 4 2 3" xfId="2345"/>
    <cellStyle name="Moneda 3 5 4 3" xfId="2347"/>
    <cellStyle name="Moneda 3 5 4 4" xfId="2344"/>
    <cellStyle name="Moneda 3 5 5" xfId="572"/>
    <cellStyle name="Moneda 3 5 5 2" xfId="1202"/>
    <cellStyle name="Moneda 3 5 5 2 2" xfId="2350"/>
    <cellStyle name="Moneda 3 5 5 2 3" xfId="2349"/>
    <cellStyle name="Moneda 3 5 5 3" xfId="2351"/>
    <cellStyle name="Moneda 3 5 5 4" xfId="2348"/>
    <cellStyle name="Moneda 3 5 6" xfId="730"/>
    <cellStyle name="Moneda 3 5 6 2" xfId="2353"/>
    <cellStyle name="Moneda 3 5 6 3" xfId="2352"/>
    <cellStyle name="Moneda 3 5 7" xfId="2354"/>
    <cellStyle name="Moneda 3 5 8" xfId="2323"/>
    <cellStyle name="Moneda 3 6" xfId="125"/>
    <cellStyle name="Moneda 3 6 2" xfId="281"/>
    <cellStyle name="Moneda 3 6 2 2" xfId="912"/>
    <cellStyle name="Moneda 3 6 2 2 2" xfId="2358"/>
    <cellStyle name="Moneda 3 6 2 2 3" xfId="2357"/>
    <cellStyle name="Moneda 3 6 2 3" xfId="2359"/>
    <cellStyle name="Moneda 3 6 2 4" xfId="2356"/>
    <cellStyle name="Moneda 3 6 3" xfId="440"/>
    <cellStyle name="Moneda 3 6 3 2" xfId="1070"/>
    <cellStyle name="Moneda 3 6 3 2 2" xfId="2362"/>
    <cellStyle name="Moneda 3 6 3 2 3" xfId="2361"/>
    <cellStyle name="Moneda 3 6 3 3" xfId="2363"/>
    <cellStyle name="Moneda 3 6 3 4" xfId="2360"/>
    <cellStyle name="Moneda 3 6 4" xfId="598"/>
    <cellStyle name="Moneda 3 6 4 2" xfId="1228"/>
    <cellStyle name="Moneda 3 6 4 2 2" xfId="2366"/>
    <cellStyle name="Moneda 3 6 4 2 3" xfId="2365"/>
    <cellStyle name="Moneda 3 6 4 3" xfId="2367"/>
    <cellStyle name="Moneda 3 6 4 4" xfId="2364"/>
    <cellStyle name="Moneda 3 6 5" xfId="756"/>
    <cellStyle name="Moneda 3 6 5 2" xfId="2369"/>
    <cellStyle name="Moneda 3 6 5 3" xfId="2368"/>
    <cellStyle name="Moneda 3 6 6" xfId="2370"/>
    <cellStyle name="Moneda 3 6 7" xfId="2355"/>
    <cellStyle name="Moneda 3 7" xfId="203"/>
    <cellStyle name="Moneda 3 7 2" xfId="834"/>
    <cellStyle name="Moneda 3 7 2 2" xfId="2373"/>
    <cellStyle name="Moneda 3 7 2 3" xfId="2372"/>
    <cellStyle name="Moneda 3 7 3" xfId="2374"/>
    <cellStyle name="Moneda 3 7 4" xfId="2371"/>
    <cellStyle name="Moneda 3 8" xfId="362"/>
    <cellStyle name="Moneda 3 8 2" xfId="992"/>
    <cellStyle name="Moneda 3 8 2 2" xfId="2377"/>
    <cellStyle name="Moneda 3 8 2 3" xfId="2376"/>
    <cellStyle name="Moneda 3 8 3" xfId="2378"/>
    <cellStyle name="Moneda 3 8 4" xfId="2375"/>
    <cellStyle name="Moneda 3 9" xfId="520"/>
    <cellStyle name="Moneda 3 9 2" xfId="1150"/>
    <cellStyle name="Moneda 3 9 2 2" xfId="2381"/>
    <cellStyle name="Moneda 3 9 2 3" xfId="2380"/>
    <cellStyle name="Moneda 3 9 3" xfId="2382"/>
    <cellStyle name="Moneda 3 9 4" xfId="2379"/>
    <cellStyle name="Moneda 4" xfId="32"/>
    <cellStyle name="Moneda 4 10" xfId="680"/>
    <cellStyle name="Moneda 4 10 2" xfId="2385"/>
    <cellStyle name="Moneda 4 10 3" xfId="2384"/>
    <cellStyle name="Moneda 4 11" xfId="2386"/>
    <cellStyle name="Moneda 4 12" xfId="2383"/>
    <cellStyle name="Moneda 4 2" xfId="50"/>
    <cellStyle name="Moneda 4 3" xfId="49"/>
    <cellStyle name="Moneda 4 4" xfId="75"/>
    <cellStyle name="Moneda 4 4 2" xfId="153"/>
    <cellStyle name="Moneda 4 4 2 2" xfId="309"/>
    <cellStyle name="Moneda 4 4 2 2 2" xfId="940"/>
    <cellStyle name="Moneda 4 4 2 2 2 2" xfId="2391"/>
    <cellStyle name="Moneda 4 4 2 2 2 3" xfId="2390"/>
    <cellStyle name="Moneda 4 4 2 2 3" xfId="2392"/>
    <cellStyle name="Moneda 4 4 2 2 4" xfId="2389"/>
    <cellStyle name="Moneda 4 4 2 3" xfId="468"/>
    <cellStyle name="Moneda 4 4 2 3 2" xfId="1098"/>
    <cellStyle name="Moneda 4 4 2 3 2 2" xfId="2395"/>
    <cellStyle name="Moneda 4 4 2 3 2 3" xfId="2394"/>
    <cellStyle name="Moneda 4 4 2 3 3" xfId="2396"/>
    <cellStyle name="Moneda 4 4 2 3 4" xfId="2393"/>
    <cellStyle name="Moneda 4 4 2 4" xfId="626"/>
    <cellStyle name="Moneda 4 4 2 4 2" xfId="1256"/>
    <cellStyle name="Moneda 4 4 2 4 2 2" xfId="2399"/>
    <cellStyle name="Moneda 4 4 2 4 2 3" xfId="2398"/>
    <cellStyle name="Moneda 4 4 2 4 3" xfId="2400"/>
    <cellStyle name="Moneda 4 4 2 4 4" xfId="2397"/>
    <cellStyle name="Moneda 4 4 2 5" xfId="784"/>
    <cellStyle name="Moneda 4 4 2 5 2" xfId="2402"/>
    <cellStyle name="Moneda 4 4 2 5 3" xfId="2401"/>
    <cellStyle name="Moneda 4 4 2 6" xfId="2403"/>
    <cellStyle name="Moneda 4 4 2 7" xfId="2388"/>
    <cellStyle name="Moneda 4 4 3" xfId="231"/>
    <cellStyle name="Moneda 4 4 3 2" xfId="862"/>
    <cellStyle name="Moneda 4 4 3 2 2" xfId="2406"/>
    <cellStyle name="Moneda 4 4 3 2 3" xfId="2405"/>
    <cellStyle name="Moneda 4 4 3 3" xfId="2407"/>
    <cellStyle name="Moneda 4 4 3 4" xfId="2404"/>
    <cellStyle name="Moneda 4 4 4" xfId="390"/>
    <cellStyle name="Moneda 4 4 4 2" xfId="1020"/>
    <cellStyle name="Moneda 4 4 4 2 2" xfId="2410"/>
    <cellStyle name="Moneda 4 4 4 2 3" xfId="2409"/>
    <cellStyle name="Moneda 4 4 4 3" xfId="2411"/>
    <cellStyle name="Moneda 4 4 4 4" xfId="2408"/>
    <cellStyle name="Moneda 4 4 5" xfId="548"/>
    <cellStyle name="Moneda 4 4 5 2" xfId="1178"/>
    <cellStyle name="Moneda 4 4 5 2 2" xfId="2414"/>
    <cellStyle name="Moneda 4 4 5 2 3" xfId="2413"/>
    <cellStyle name="Moneda 4 4 5 3" xfId="2415"/>
    <cellStyle name="Moneda 4 4 5 4" xfId="2412"/>
    <cellStyle name="Moneda 4 4 6" xfId="706"/>
    <cellStyle name="Moneda 4 4 6 2" xfId="2417"/>
    <cellStyle name="Moneda 4 4 6 3" xfId="2416"/>
    <cellStyle name="Moneda 4 4 7" xfId="2418"/>
    <cellStyle name="Moneda 4 4 8" xfId="2387"/>
    <cellStyle name="Moneda 4 5" xfId="101"/>
    <cellStyle name="Moneda 4 5 2" xfId="179"/>
    <cellStyle name="Moneda 4 5 2 2" xfId="335"/>
    <cellStyle name="Moneda 4 5 2 2 2" xfId="966"/>
    <cellStyle name="Moneda 4 5 2 2 2 2" xfId="2423"/>
    <cellStyle name="Moneda 4 5 2 2 2 3" xfId="2422"/>
    <cellStyle name="Moneda 4 5 2 2 3" xfId="2424"/>
    <cellStyle name="Moneda 4 5 2 2 4" xfId="2421"/>
    <cellStyle name="Moneda 4 5 2 3" xfId="494"/>
    <cellStyle name="Moneda 4 5 2 3 2" xfId="1124"/>
    <cellStyle name="Moneda 4 5 2 3 2 2" xfId="2427"/>
    <cellStyle name="Moneda 4 5 2 3 2 3" xfId="2426"/>
    <cellStyle name="Moneda 4 5 2 3 3" xfId="2428"/>
    <cellStyle name="Moneda 4 5 2 3 4" xfId="2425"/>
    <cellStyle name="Moneda 4 5 2 4" xfId="652"/>
    <cellStyle name="Moneda 4 5 2 4 2" xfId="1282"/>
    <cellStyle name="Moneda 4 5 2 4 2 2" xfId="2431"/>
    <cellStyle name="Moneda 4 5 2 4 2 3" xfId="2430"/>
    <cellStyle name="Moneda 4 5 2 4 3" xfId="2432"/>
    <cellStyle name="Moneda 4 5 2 4 4" xfId="2429"/>
    <cellStyle name="Moneda 4 5 2 5" xfId="810"/>
    <cellStyle name="Moneda 4 5 2 5 2" xfId="2434"/>
    <cellStyle name="Moneda 4 5 2 5 3" xfId="2433"/>
    <cellStyle name="Moneda 4 5 2 6" xfId="2435"/>
    <cellStyle name="Moneda 4 5 2 7" xfId="2420"/>
    <cellStyle name="Moneda 4 5 3" xfId="257"/>
    <cellStyle name="Moneda 4 5 3 2" xfId="888"/>
    <cellStyle name="Moneda 4 5 3 2 2" xfId="2438"/>
    <cellStyle name="Moneda 4 5 3 2 3" xfId="2437"/>
    <cellStyle name="Moneda 4 5 3 3" xfId="2439"/>
    <cellStyle name="Moneda 4 5 3 4" xfId="2436"/>
    <cellStyle name="Moneda 4 5 4" xfId="416"/>
    <cellStyle name="Moneda 4 5 4 2" xfId="1046"/>
    <cellStyle name="Moneda 4 5 4 2 2" xfId="2442"/>
    <cellStyle name="Moneda 4 5 4 2 3" xfId="2441"/>
    <cellStyle name="Moneda 4 5 4 3" xfId="2443"/>
    <cellStyle name="Moneda 4 5 4 4" xfId="2440"/>
    <cellStyle name="Moneda 4 5 5" xfId="574"/>
    <cellStyle name="Moneda 4 5 5 2" xfId="1204"/>
    <cellStyle name="Moneda 4 5 5 2 2" xfId="2446"/>
    <cellStyle name="Moneda 4 5 5 2 3" xfId="2445"/>
    <cellStyle name="Moneda 4 5 5 3" xfId="2447"/>
    <cellStyle name="Moneda 4 5 5 4" xfId="2444"/>
    <cellStyle name="Moneda 4 5 6" xfId="732"/>
    <cellStyle name="Moneda 4 5 6 2" xfId="2449"/>
    <cellStyle name="Moneda 4 5 6 3" xfId="2448"/>
    <cellStyle name="Moneda 4 5 7" xfId="2450"/>
    <cellStyle name="Moneda 4 5 8" xfId="2419"/>
    <cellStyle name="Moneda 4 6" xfId="127"/>
    <cellStyle name="Moneda 4 6 2" xfId="283"/>
    <cellStyle name="Moneda 4 6 2 2" xfId="914"/>
    <cellStyle name="Moneda 4 6 2 2 2" xfId="2454"/>
    <cellStyle name="Moneda 4 6 2 2 3" xfId="2453"/>
    <cellStyle name="Moneda 4 6 2 3" xfId="2455"/>
    <cellStyle name="Moneda 4 6 2 4" xfId="2452"/>
    <cellStyle name="Moneda 4 6 3" xfId="442"/>
    <cellStyle name="Moneda 4 6 3 2" xfId="1072"/>
    <cellStyle name="Moneda 4 6 3 2 2" xfId="2458"/>
    <cellStyle name="Moneda 4 6 3 2 3" xfId="2457"/>
    <cellStyle name="Moneda 4 6 3 3" xfId="2459"/>
    <cellStyle name="Moneda 4 6 3 4" xfId="2456"/>
    <cellStyle name="Moneda 4 6 4" xfId="600"/>
    <cellStyle name="Moneda 4 6 4 2" xfId="1230"/>
    <cellStyle name="Moneda 4 6 4 2 2" xfId="2462"/>
    <cellStyle name="Moneda 4 6 4 2 3" xfId="2461"/>
    <cellStyle name="Moneda 4 6 4 3" xfId="2463"/>
    <cellStyle name="Moneda 4 6 4 4" xfId="2460"/>
    <cellStyle name="Moneda 4 6 5" xfId="758"/>
    <cellStyle name="Moneda 4 6 5 2" xfId="2465"/>
    <cellStyle name="Moneda 4 6 5 3" xfId="2464"/>
    <cellStyle name="Moneda 4 6 6" xfId="2466"/>
    <cellStyle name="Moneda 4 6 7" xfId="2451"/>
    <cellStyle name="Moneda 4 7" xfId="205"/>
    <cellStyle name="Moneda 4 7 2" xfId="836"/>
    <cellStyle name="Moneda 4 7 2 2" xfId="2469"/>
    <cellStyle name="Moneda 4 7 2 3" xfId="2468"/>
    <cellStyle name="Moneda 4 7 3" xfId="2470"/>
    <cellStyle name="Moneda 4 7 4" xfId="2467"/>
    <cellStyle name="Moneda 4 8" xfId="364"/>
    <cellStyle name="Moneda 4 8 2" xfId="994"/>
    <cellStyle name="Moneda 4 8 2 2" xfId="2473"/>
    <cellStyle name="Moneda 4 8 2 3" xfId="2472"/>
    <cellStyle name="Moneda 4 8 3" xfId="2474"/>
    <cellStyle name="Moneda 4 8 4" xfId="2471"/>
    <cellStyle name="Moneda 4 9" xfId="522"/>
    <cellStyle name="Moneda 4 9 2" xfId="1152"/>
    <cellStyle name="Moneda 4 9 2 2" xfId="2477"/>
    <cellStyle name="Moneda 4 9 2 3" xfId="2476"/>
    <cellStyle name="Moneda 4 9 3" xfId="2478"/>
    <cellStyle name="Moneda 4 9 4" xfId="2475"/>
    <cellStyle name="Moneda 5" xfId="31"/>
    <cellStyle name="Moneda 5 10" xfId="2479"/>
    <cellStyle name="Moneda 5 2" xfId="74"/>
    <cellStyle name="Moneda 5 2 2" xfId="152"/>
    <cellStyle name="Moneda 5 2 2 2" xfId="308"/>
    <cellStyle name="Moneda 5 2 2 2 2" xfId="939"/>
    <cellStyle name="Moneda 5 2 2 2 2 2" xfId="2484"/>
    <cellStyle name="Moneda 5 2 2 2 2 3" xfId="2483"/>
    <cellStyle name="Moneda 5 2 2 2 3" xfId="2485"/>
    <cellStyle name="Moneda 5 2 2 2 4" xfId="2482"/>
    <cellStyle name="Moneda 5 2 2 3" xfId="467"/>
    <cellStyle name="Moneda 5 2 2 3 2" xfId="1097"/>
    <cellStyle name="Moneda 5 2 2 3 2 2" xfId="2488"/>
    <cellStyle name="Moneda 5 2 2 3 2 3" xfId="2487"/>
    <cellStyle name="Moneda 5 2 2 3 3" xfId="2489"/>
    <cellStyle name="Moneda 5 2 2 3 4" xfId="2486"/>
    <cellStyle name="Moneda 5 2 2 4" xfId="625"/>
    <cellStyle name="Moneda 5 2 2 4 2" xfId="1255"/>
    <cellStyle name="Moneda 5 2 2 4 2 2" xfId="2492"/>
    <cellStyle name="Moneda 5 2 2 4 2 3" xfId="2491"/>
    <cellStyle name="Moneda 5 2 2 4 3" xfId="2493"/>
    <cellStyle name="Moneda 5 2 2 4 4" xfId="2490"/>
    <cellStyle name="Moneda 5 2 2 5" xfId="783"/>
    <cellStyle name="Moneda 5 2 2 5 2" xfId="2495"/>
    <cellStyle name="Moneda 5 2 2 5 3" xfId="2494"/>
    <cellStyle name="Moneda 5 2 2 6" xfId="2496"/>
    <cellStyle name="Moneda 5 2 2 7" xfId="2481"/>
    <cellStyle name="Moneda 5 2 3" xfId="230"/>
    <cellStyle name="Moneda 5 2 3 2" xfId="861"/>
    <cellStyle name="Moneda 5 2 3 2 2" xfId="2499"/>
    <cellStyle name="Moneda 5 2 3 2 3" xfId="2498"/>
    <cellStyle name="Moneda 5 2 3 3" xfId="2500"/>
    <cellStyle name="Moneda 5 2 3 4" xfId="2497"/>
    <cellStyle name="Moneda 5 2 4" xfId="389"/>
    <cellStyle name="Moneda 5 2 4 2" xfId="1019"/>
    <cellStyle name="Moneda 5 2 4 2 2" xfId="2503"/>
    <cellStyle name="Moneda 5 2 4 2 3" xfId="2502"/>
    <cellStyle name="Moneda 5 2 4 3" xfId="2504"/>
    <cellStyle name="Moneda 5 2 4 4" xfId="2501"/>
    <cellStyle name="Moneda 5 2 5" xfId="547"/>
    <cellStyle name="Moneda 5 2 5 2" xfId="1177"/>
    <cellStyle name="Moneda 5 2 5 2 2" xfId="2507"/>
    <cellStyle name="Moneda 5 2 5 2 3" xfId="2506"/>
    <cellStyle name="Moneda 5 2 5 3" xfId="2508"/>
    <cellStyle name="Moneda 5 2 5 4" xfId="2505"/>
    <cellStyle name="Moneda 5 2 6" xfId="705"/>
    <cellStyle name="Moneda 5 2 6 2" xfId="2510"/>
    <cellStyle name="Moneda 5 2 6 3" xfId="2509"/>
    <cellStyle name="Moneda 5 2 7" xfId="2511"/>
    <cellStyle name="Moneda 5 2 8" xfId="2480"/>
    <cellStyle name="Moneda 5 3" xfId="100"/>
    <cellStyle name="Moneda 5 3 2" xfId="178"/>
    <cellStyle name="Moneda 5 3 2 2" xfId="334"/>
    <cellStyle name="Moneda 5 3 2 2 2" xfId="965"/>
    <cellStyle name="Moneda 5 3 2 2 2 2" xfId="2516"/>
    <cellStyle name="Moneda 5 3 2 2 2 3" xfId="2515"/>
    <cellStyle name="Moneda 5 3 2 2 3" xfId="2517"/>
    <cellStyle name="Moneda 5 3 2 2 4" xfId="2514"/>
    <cellStyle name="Moneda 5 3 2 3" xfId="493"/>
    <cellStyle name="Moneda 5 3 2 3 2" xfId="1123"/>
    <cellStyle name="Moneda 5 3 2 3 2 2" xfId="2520"/>
    <cellStyle name="Moneda 5 3 2 3 2 3" xfId="2519"/>
    <cellStyle name="Moneda 5 3 2 3 3" xfId="2521"/>
    <cellStyle name="Moneda 5 3 2 3 4" xfId="2518"/>
    <cellStyle name="Moneda 5 3 2 4" xfId="651"/>
    <cellStyle name="Moneda 5 3 2 4 2" xfId="1281"/>
    <cellStyle name="Moneda 5 3 2 4 2 2" xfId="2524"/>
    <cellStyle name="Moneda 5 3 2 4 2 3" xfId="2523"/>
    <cellStyle name="Moneda 5 3 2 4 3" xfId="2525"/>
    <cellStyle name="Moneda 5 3 2 4 4" xfId="2522"/>
    <cellStyle name="Moneda 5 3 2 5" xfId="809"/>
    <cellStyle name="Moneda 5 3 2 5 2" xfId="2527"/>
    <cellStyle name="Moneda 5 3 2 5 3" xfId="2526"/>
    <cellStyle name="Moneda 5 3 2 6" xfId="2528"/>
    <cellStyle name="Moneda 5 3 2 7" xfId="2513"/>
    <cellStyle name="Moneda 5 3 3" xfId="256"/>
    <cellStyle name="Moneda 5 3 3 2" xfId="887"/>
    <cellStyle name="Moneda 5 3 3 2 2" xfId="2531"/>
    <cellStyle name="Moneda 5 3 3 2 3" xfId="2530"/>
    <cellStyle name="Moneda 5 3 3 3" xfId="2532"/>
    <cellStyle name="Moneda 5 3 3 4" xfId="2529"/>
    <cellStyle name="Moneda 5 3 4" xfId="415"/>
    <cellStyle name="Moneda 5 3 4 2" xfId="1045"/>
    <cellStyle name="Moneda 5 3 4 2 2" xfId="2535"/>
    <cellStyle name="Moneda 5 3 4 2 3" xfId="2534"/>
    <cellStyle name="Moneda 5 3 4 3" xfId="2536"/>
    <cellStyle name="Moneda 5 3 4 4" xfId="2533"/>
    <cellStyle name="Moneda 5 3 5" xfId="573"/>
    <cellStyle name="Moneda 5 3 5 2" xfId="1203"/>
    <cellStyle name="Moneda 5 3 5 2 2" xfId="2539"/>
    <cellStyle name="Moneda 5 3 5 2 3" xfId="2538"/>
    <cellStyle name="Moneda 5 3 5 3" xfId="2540"/>
    <cellStyle name="Moneda 5 3 5 4" xfId="2537"/>
    <cellStyle name="Moneda 5 3 6" xfId="731"/>
    <cellStyle name="Moneda 5 3 6 2" xfId="2542"/>
    <cellStyle name="Moneda 5 3 6 3" xfId="2541"/>
    <cellStyle name="Moneda 5 3 7" xfId="2543"/>
    <cellStyle name="Moneda 5 3 8" xfId="2512"/>
    <cellStyle name="Moneda 5 4" xfId="126"/>
    <cellStyle name="Moneda 5 4 2" xfId="282"/>
    <cellStyle name="Moneda 5 4 2 2" xfId="913"/>
    <cellStyle name="Moneda 5 4 2 2 2" xfId="2547"/>
    <cellStyle name="Moneda 5 4 2 2 3" xfId="2546"/>
    <cellStyle name="Moneda 5 4 2 3" xfId="2548"/>
    <cellStyle name="Moneda 5 4 2 4" xfId="2545"/>
    <cellStyle name="Moneda 5 4 3" xfId="441"/>
    <cellStyle name="Moneda 5 4 3 2" xfId="1071"/>
    <cellStyle name="Moneda 5 4 3 2 2" xfId="2551"/>
    <cellStyle name="Moneda 5 4 3 2 3" xfId="2550"/>
    <cellStyle name="Moneda 5 4 3 3" xfId="2552"/>
    <cellStyle name="Moneda 5 4 3 4" xfId="2549"/>
    <cellStyle name="Moneda 5 4 4" xfId="599"/>
    <cellStyle name="Moneda 5 4 4 2" xfId="1229"/>
    <cellStyle name="Moneda 5 4 4 2 2" xfId="2555"/>
    <cellStyle name="Moneda 5 4 4 2 3" xfId="2554"/>
    <cellStyle name="Moneda 5 4 4 3" xfId="2556"/>
    <cellStyle name="Moneda 5 4 4 4" xfId="2553"/>
    <cellStyle name="Moneda 5 4 5" xfId="757"/>
    <cellStyle name="Moneda 5 4 5 2" xfId="2558"/>
    <cellStyle name="Moneda 5 4 5 3" xfId="2557"/>
    <cellStyle name="Moneda 5 4 6" xfId="2559"/>
    <cellStyle name="Moneda 5 4 7" xfId="2544"/>
    <cellStyle name="Moneda 5 5" xfId="204"/>
    <cellStyle name="Moneda 5 5 2" xfId="835"/>
    <cellStyle name="Moneda 5 5 2 2" xfId="2562"/>
    <cellStyle name="Moneda 5 5 2 3" xfId="2561"/>
    <cellStyle name="Moneda 5 5 3" xfId="2563"/>
    <cellStyle name="Moneda 5 5 4" xfId="2560"/>
    <cellStyle name="Moneda 5 6" xfId="363"/>
    <cellStyle name="Moneda 5 6 2" xfId="993"/>
    <cellStyle name="Moneda 5 6 2 2" xfId="2566"/>
    <cellStyle name="Moneda 5 6 2 3" xfId="2565"/>
    <cellStyle name="Moneda 5 6 3" xfId="2567"/>
    <cellStyle name="Moneda 5 6 4" xfId="2564"/>
    <cellStyle name="Moneda 5 7" xfId="521"/>
    <cellStyle name="Moneda 5 7 2" xfId="1151"/>
    <cellStyle name="Moneda 5 7 2 2" xfId="2570"/>
    <cellStyle name="Moneda 5 7 2 3" xfId="2569"/>
    <cellStyle name="Moneda 5 7 3" xfId="2571"/>
    <cellStyle name="Moneda 5 7 4" xfId="2568"/>
    <cellStyle name="Moneda 5 8" xfId="679"/>
    <cellStyle name="Moneda 5 8 2" xfId="2573"/>
    <cellStyle name="Moneda 5 8 3" xfId="2572"/>
    <cellStyle name="Moneda 5 9" xfId="2574"/>
    <cellStyle name="Moneda 6" xfId="27"/>
    <cellStyle name="Moneda 6 10" xfId="2575"/>
    <cellStyle name="Moneda 6 2" xfId="71"/>
    <cellStyle name="Moneda 6 2 2" xfId="149"/>
    <cellStyle name="Moneda 6 2 2 2" xfId="305"/>
    <cellStyle name="Moneda 6 2 2 2 2" xfId="936"/>
    <cellStyle name="Moneda 6 2 2 2 2 2" xfId="2580"/>
    <cellStyle name="Moneda 6 2 2 2 2 3" xfId="2579"/>
    <cellStyle name="Moneda 6 2 2 2 3" xfId="2581"/>
    <cellStyle name="Moneda 6 2 2 2 4" xfId="2578"/>
    <cellStyle name="Moneda 6 2 2 3" xfId="464"/>
    <cellStyle name="Moneda 6 2 2 3 2" xfId="1094"/>
    <cellStyle name="Moneda 6 2 2 3 2 2" xfId="2584"/>
    <cellStyle name="Moneda 6 2 2 3 2 3" xfId="2583"/>
    <cellStyle name="Moneda 6 2 2 3 3" xfId="2585"/>
    <cellStyle name="Moneda 6 2 2 3 4" xfId="2582"/>
    <cellStyle name="Moneda 6 2 2 4" xfId="622"/>
    <cellStyle name="Moneda 6 2 2 4 2" xfId="1252"/>
    <cellStyle name="Moneda 6 2 2 4 2 2" xfId="2588"/>
    <cellStyle name="Moneda 6 2 2 4 2 3" xfId="2587"/>
    <cellStyle name="Moneda 6 2 2 4 3" xfId="2589"/>
    <cellStyle name="Moneda 6 2 2 4 4" xfId="2586"/>
    <cellStyle name="Moneda 6 2 2 5" xfId="780"/>
    <cellStyle name="Moneda 6 2 2 5 2" xfId="2591"/>
    <cellStyle name="Moneda 6 2 2 5 3" xfId="2590"/>
    <cellStyle name="Moneda 6 2 2 6" xfId="2592"/>
    <cellStyle name="Moneda 6 2 2 7" xfId="2577"/>
    <cellStyle name="Moneda 6 2 3" xfId="227"/>
    <cellStyle name="Moneda 6 2 3 2" xfId="858"/>
    <cellStyle name="Moneda 6 2 3 2 2" xfId="2595"/>
    <cellStyle name="Moneda 6 2 3 2 3" xfId="2594"/>
    <cellStyle name="Moneda 6 2 3 3" xfId="2596"/>
    <cellStyle name="Moneda 6 2 3 4" xfId="2593"/>
    <cellStyle name="Moneda 6 2 4" xfId="386"/>
    <cellStyle name="Moneda 6 2 4 2" xfId="1016"/>
    <cellStyle name="Moneda 6 2 4 2 2" xfId="2599"/>
    <cellStyle name="Moneda 6 2 4 2 3" xfId="2598"/>
    <cellStyle name="Moneda 6 2 4 3" xfId="2600"/>
    <cellStyle name="Moneda 6 2 4 4" xfId="2597"/>
    <cellStyle name="Moneda 6 2 5" xfId="544"/>
    <cellStyle name="Moneda 6 2 5 2" xfId="1174"/>
    <cellStyle name="Moneda 6 2 5 2 2" xfId="2603"/>
    <cellStyle name="Moneda 6 2 5 2 3" xfId="2602"/>
    <cellStyle name="Moneda 6 2 5 3" xfId="2604"/>
    <cellStyle name="Moneda 6 2 5 4" xfId="2601"/>
    <cellStyle name="Moneda 6 2 6" xfId="702"/>
    <cellStyle name="Moneda 6 2 6 2" xfId="2606"/>
    <cellStyle name="Moneda 6 2 6 3" xfId="2605"/>
    <cellStyle name="Moneda 6 2 7" xfId="2607"/>
    <cellStyle name="Moneda 6 2 8" xfId="2576"/>
    <cellStyle name="Moneda 6 3" xfId="97"/>
    <cellStyle name="Moneda 6 3 2" xfId="175"/>
    <cellStyle name="Moneda 6 3 2 2" xfId="331"/>
    <cellStyle name="Moneda 6 3 2 2 2" xfId="962"/>
    <cellStyle name="Moneda 6 3 2 2 2 2" xfId="2612"/>
    <cellStyle name="Moneda 6 3 2 2 2 3" xfId="2611"/>
    <cellStyle name="Moneda 6 3 2 2 3" xfId="2613"/>
    <cellStyle name="Moneda 6 3 2 2 4" xfId="2610"/>
    <cellStyle name="Moneda 6 3 2 3" xfId="490"/>
    <cellStyle name="Moneda 6 3 2 3 2" xfId="1120"/>
    <cellStyle name="Moneda 6 3 2 3 2 2" xfId="2616"/>
    <cellStyle name="Moneda 6 3 2 3 2 3" xfId="2615"/>
    <cellStyle name="Moneda 6 3 2 3 3" xfId="2617"/>
    <cellStyle name="Moneda 6 3 2 3 4" xfId="2614"/>
    <cellStyle name="Moneda 6 3 2 4" xfId="648"/>
    <cellStyle name="Moneda 6 3 2 4 2" xfId="1278"/>
    <cellStyle name="Moneda 6 3 2 4 2 2" xfId="2620"/>
    <cellStyle name="Moneda 6 3 2 4 2 3" xfId="2619"/>
    <cellStyle name="Moneda 6 3 2 4 3" xfId="2621"/>
    <cellStyle name="Moneda 6 3 2 4 4" xfId="2618"/>
    <cellStyle name="Moneda 6 3 2 5" xfId="806"/>
    <cellStyle name="Moneda 6 3 2 5 2" xfId="2623"/>
    <cellStyle name="Moneda 6 3 2 5 3" xfId="2622"/>
    <cellStyle name="Moneda 6 3 2 6" xfId="2624"/>
    <cellStyle name="Moneda 6 3 2 7" xfId="2609"/>
    <cellStyle name="Moneda 6 3 3" xfId="253"/>
    <cellStyle name="Moneda 6 3 3 2" xfId="884"/>
    <cellStyle name="Moneda 6 3 3 2 2" xfId="2627"/>
    <cellStyle name="Moneda 6 3 3 2 3" xfId="2626"/>
    <cellStyle name="Moneda 6 3 3 3" xfId="2628"/>
    <cellStyle name="Moneda 6 3 3 4" xfId="2625"/>
    <cellStyle name="Moneda 6 3 4" xfId="412"/>
    <cellStyle name="Moneda 6 3 4 2" xfId="1042"/>
    <cellStyle name="Moneda 6 3 4 2 2" xfId="2631"/>
    <cellStyle name="Moneda 6 3 4 2 3" xfId="2630"/>
    <cellStyle name="Moneda 6 3 4 3" xfId="2632"/>
    <cellStyle name="Moneda 6 3 4 4" xfId="2629"/>
    <cellStyle name="Moneda 6 3 5" xfId="570"/>
    <cellStyle name="Moneda 6 3 5 2" xfId="1200"/>
    <cellStyle name="Moneda 6 3 5 2 2" xfId="2635"/>
    <cellStyle name="Moneda 6 3 5 2 3" xfId="2634"/>
    <cellStyle name="Moneda 6 3 5 3" xfId="2636"/>
    <cellStyle name="Moneda 6 3 5 4" xfId="2633"/>
    <cellStyle name="Moneda 6 3 6" xfId="728"/>
    <cellStyle name="Moneda 6 3 6 2" xfId="2638"/>
    <cellStyle name="Moneda 6 3 6 3" xfId="2637"/>
    <cellStyle name="Moneda 6 3 7" xfId="2639"/>
    <cellStyle name="Moneda 6 3 8" xfId="2608"/>
    <cellStyle name="Moneda 6 4" xfId="123"/>
    <cellStyle name="Moneda 6 4 2" xfId="279"/>
    <cellStyle name="Moneda 6 4 2 2" xfId="910"/>
    <cellStyle name="Moneda 6 4 2 2 2" xfId="2643"/>
    <cellStyle name="Moneda 6 4 2 2 3" xfId="2642"/>
    <cellStyle name="Moneda 6 4 2 3" xfId="2644"/>
    <cellStyle name="Moneda 6 4 2 4" xfId="2641"/>
    <cellStyle name="Moneda 6 4 3" xfId="438"/>
    <cellStyle name="Moneda 6 4 3 2" xfId="1068"/>
    <cellStyle name="Moneda 6 4 3 2 2" xfId="2647"/>
    <cellStyle name="Moneda 6 4 3 2 3" xfId="2646"/>
    <cellStyle name="Moneda 6 4 3 3" xfId="2648"/>
    <cellStyle name="Moneda 6 4 3 4" xfId="2645"/>
    <cellStyle name="Moneda 6 4 4" xfId="596"/>
    <cellStyle name="Moneda 6 4 4 2" xfId="1226"/>
    <cellStyle name="Moneda 6 4 4 2 2" xfId="2651"/>
    <cellStyle name="Moneda 6 4 4 2 3" xfId="2650"/>
    <cellStyle name="Moneda 6 4 4 3" xfId="2652"/>
    <cellStyle name="Moneda 6 4 4 4" xfId="2649"/>
    <cellStyle name="Moneda 6 4 5" xfId="754"/>
    <cellStyle name="Moneda 6 4 5 2" xfId="2654"/>
    <cellStyle name="Moneda 6 4 5 3" xfId="2653"/>
    <cellStyle name="Moneda 6 4 6" xfId="2655"/>
    <cellStyle name="Moneda 6 4 7" xfId="2640"/>
    <cellStyle name="Moneda 6 5" xfId="201"/>
    <cellStyle name="Moneda 6 5 2" xfId="832"/>
    <cellStyle name="Moneda 6 5 2 2" xfId="2658"/>
    <cellStyle name="Moneda 6 5 2 3" xfId="2657"/>
    <cellStyle name="Moneda 6 5 3" xfId="2659"/>
    <cellStyle name="Moneda 6 5 4" xfId="2656"/>
    <cellStyle name="Moneda 6 6" xfId="360"/>
    <cellStyle name="Moneda 6 6 2" xfId="990"/>
    <cellStyle name="Moneda 6 6 2 2" xfId="2662"/>
    <cellStyle name="Moneda 6 6 2 3" xfId="2661"/>
    <cellStyle name="Moneda 6 6 3" xfId="2663"/>
    <cellStyle name="Moneda 6 6 4" xfId="2660"/>
    <cellStyle name="Moneda 6 7" xfId="518"/>
    <cellStyle name="Moneda 6 7 2" xfId="1148"/>
    <cellStyle name="Moneda 6 7 2 2" xfId="2666"/>
    <cellStyle name="Moneda 6 7 2 3" xfId="2665"/>
    <cellStyle name="Moneda 6 7 3" xfId="2667"/>
    <cellStyle name="Moneda 6 7 4" xfId="2664"/>
    <cellStyle name="Moneda 6 8" xfId="676"/>
    <cellStyle name="Moneda 6 8 2" xfId="2669"/>
    <cellStyle name="Moneda 6 8 3" xfId="2668"/>
    <cellStyle name="Moneda 6 9" xfId="2670"/>
    <cellStyle name="Moneda 7" xfId="33"/>
    <cellStyle name="Moneda 7 10" xfId="2671"/>
    <cellStyle name="Moneda 7 2" xfId="76"/>
    <cellStyle name="Moneda 7 2 2" xfId="154"/>
    <cellStyle name="Moneda 7 2 2 2" xfId="310"/>
    <cellStyle name="Moneda 7 2 2 2 2" xfId="941"/>
    <cellStyle name="Moneda 7 2 2 2 2 2" xfId="2676"/>
    <cellStyle name="Moneda 7 2 2 2 2 3" xfId="2675"/>
    <cellStyle name="Moneda 7 2 2 2 3" xfId="2677"/>
    <cellStyle name="Moneda 7 2 2 2 4" xfId="2674"/>
    <cellStyle name="Moneda 7 2 2 3" xfId="469"/>
    <cellStyle name="Moneda 7 2 2 3 2" xfId="1099"/>
    <cellStyle name="Moneda 7 2 2 3 2 2" xfId="2680"/>
    <cellStyle name="Moneda 7 2 2 3 2 3" xfId="2679"/>
    <cellStyle name="Moneda 7 2 2 3 3" xfId="2681"/>
    <cellStyle name="Moneda 7 2 2 3 4" xfId="2678"/>
    <cellStyle name="Moneda 7 2 2 4" xfId="627"/>
    <cellStyle name="Moneda 7 2 2 4 2" xfId="1257"/>
    <cellStyle name="Moneda 7 2 2 4 2 2" xfId="2684"/>
    <cellStyle name="Moneda 7 2 2 4 2 3" xfId="2683"/>
    <cellStyle name="Moneda 7 2 2 4 3" xfId="2685"/>
    <cellStyle name="Moneda 7 2 2 4 4" xfId="2682"/>
    <cellStyle name="Moneda 7 2 2 5" xfId="785"/>
    <cellStyle name="Moneda 7 2 2 5 2" xfId="2687"/>
    <cellStyle name="Moneda 7 2 2 5 3" xfId="2686"/>
    <cellStyle name="Moneda 7 2 2 6" xfId="2688"/>
    <cellStyle name="Moneda 7 2 2 7" xfId="2673"/>
    <cellStyle name="Moneda 7 2 3" xfId="232"/>
    <cellStyle name="Moneda 7 2 3 2" xfId="863"/>
    <cellStyle name="Moneda 7 2 3 2 2" xfId="2691"/>
    <cellStyle name="Moneda 7 2 3 2 3" xfId="2690"/>
    <cellStyle name="Moneda 7 2 3 3" xfId="2692"/>
    <cellStyle name="Moneda 7 2 3 4" xfId="2689"/>
    <cellStyle name="Moneda 7 2 4" xfId="391"/>
    <cellStyle name="Moneda 7 2 4 2" xfId="1021"/>
    <cellStyle name="Moneda 7 2 4 2 2" xfId="2695"/>
    <cellStyle name="Moneda 7 2 4 2 3" xfId="2694"/>
    <cellStyle name="Moneda 7 2 4 3" xfId="2696"/>
    <cellStyle name="Moneda 7 2 4 4" xfId="2693"/>
    <cellStyle name="Moneda 7 2 5" xfId="549"/>
    <cellStyle name="Moneda 7 2 5 2" xfId="1179"/>
    <cellStyle name="Moneda 7 2 5 2 2" xfId="2699"/>
    <cellStyle name="Moneda 7 2 5 2 3" xfId="2698"/>
    <cellStyle name="Moneda 7 2 5 3" xfId="2700"/>
    <cellStyle name="Moneda 7 2 5 4" xfId="2697"/>
    <cellStyle name="Moneda 7 2 6" xfId="707"/>
    <cellStyle name="Moneda 7 2 6 2" xfId="2702"/>
    <cellStyle name="Moneda 7 2 6 3" xfId="2701"/>
    <cellStyle name="Moneda 7 2 7" xfId="2703"/>
    <cellStyle name="Moneda 7 2 8" xfId="2672"/>
    <cellStyle name="Moneda 7 3" xfId="102"/>
    <cellStyle name="Moneda 7 3 2" xfId="180"/>
    <cellStyle name="Moneda 7 3 2 2" xfId="336"/>
    <cellStyle name="Moneda 7 3 2 2 2" xfId="967"/>
    <cellStyle name="Moneda 7 3 2 2 2 2" xfId="2708"/>
    <cellStyle name="Moneda 7 3 2 2 2 3" xfId="2707"/>
    <cellStyle name="Moneda 7 3 2 2 3" xfId="2709"/>
    <cellStyle name="Moneda 7 3 2 2 4" xfId="2706"/>
    <cellStyle name="Moneda 7 3 2 3" xfId="495"/>
    <cellStyle name="Moneda 7 3 2 3 2" xfId="1125"/>
    <cellStyle name="Moneda 7 3 2 3 2 2" xfId="2712"/>
    <cellStyle name="Moneda 7 3 2 3 2 3" xfId="2711"/>
    <cellStyle name="Moneda 7 3 2 3 3" xfId="2713"/>
    <cellStyle name="Moneda 7 3 2 3 4" xfId="2710"/>
    <cellStyle name="Moneda 7 3 2 4" xfId="653"/>
    <cellStyle name="Moneda 7 3 2 4 2" xfId="1283"/>
    <cellStyle name="Moneda 7 3 2 4 2 2" xfId="2716"/>
    <cellStyle name="Moneda 7 3 2 4 2 3" xfId="2715"/>
    <cellStyle name="Moneda 7 3 2 4 3" xfId="2717"/>
    <cellStyle name="Moneda 7 3 2 4 4" xfId="2714"/>
    <cellStyle name="Moneda 7 3 2 5" xfId="811"/>
    <cellStyle name="Moneda 7 3 2 5 2" xfId="2719"/>
    <cellStyle name="Moneda 7 3 2 5 3" xfId="2718"/>
    <cellStyle name="Moneda 7 3 2 6" xfId="2720"/>
    <cellStyle name="Moneda 7 3 2 7" xfId="2705"/>
    <cellStyle name="Moneda 7 3 3" xfId="258"/>
    <cellStyle name="Moneda 7 3 3 2" xfId="889"/>
    <cellStyle name="Moneda 7 3 3 2 2" xfId="2723"/>
    <cellStyle name="Moneda 7 3 3 2 3" xfId="2722"/>
    <cellStyle name="Moneda 7 3 3 3" xfId="2724"/>
    <cellStyle name="Moneda 7 3 3 4" xfId="2721"/>
    <cellStyle name="Moneda 7 3 4" xfId="417"/>
    <cellStyle name="Moneda 7 3 4 2" xfId="1047"/>
    <cellStyle name="Moneda 7 3 4 2 2" xfId="2727"/>
    <cellStyle name="Moneda 7 3 4 2 3" xfId="2726"/>
    <cellStyle name="Moneda 7 3 4 3" xfId="2728"/>
    <cellStyle name="Moneda 7 3 4 4" xfId="2725"/>
    <cellStyle name="Moneda 7 3 5" xfId="575"/>
    <cellStyle name="Moneda 7 3 5 2" xfId="1205"/>
    <cellStyle name="Moneda 7 3 5 2 2" xfId="2731"/>
    <cellStyle name="Moneda 7 3 5 2 3" xfId="2732"/>
    <cellStyle name="Moneda 7 3 5 2 4" xfId="2730"/>
    <cellStyle name="Moneda 7 3 5 3" xfId="2733"/>
    <cellStyle name="Moneda 7 3 5 4" xfId="2729"/>
    <cellStyle name="Moneda 7 3 6" xfId="733"/>
    <cellStyle name="Moneda 7 3 6 2" xfId="2735"/>
    <cellStyle name="Moneda 7 3 6 3" xfId="2734"/>
    <cellStyle name="Moneda 7 3 7" xfId="2736"/>
    <cellStyle name="Moneda 7 3 8" xfId="2704"/>
    <cellStyle name="Moneda 7 4" xfId="128"/>
    <cellStyle name="Moneda 7 4 2" xfId="284"/>
    <cellStyle name="Moneda 7 4 2 2" xfId="915"/>
    <cellStyle name="Moneda 7 4 2 2 2" xfId="2740"/>
    <cellStyle name="Moneda 7 4 2 2 3" xfId="2739"/>
    <cellStyle name="Moneda 7 4 2 3" xfId="2741"/>
    <cellStyle name="Moneda 7 4 2 4" xfId="2738"/>
    <cellStyle name="Moneda 7 4 3" xfId="443"/>
    <cellStyle name="Moneda 7 4 3 2" xfId="1073"/>
    <cellStyle name="Moneda 7 4 3 2 2" xfId="2744"/>
    <cellStyle name="Moneda 7 4 3 2 3" xfId="2743"/>
    <cellStyle name="Moneda 7 4 3 3" xfId="2745"/>
    <cellStyle name="Moneda 7 4 3 4" xfId="2742"/>
    <cellStyle name="Moneda 7 4 4" xfId="601"/>
    <cellStyle name="Moneda 7 4 4 2" xfId="1231"/>
    <cellStyle name="Moneda 7 4 4 2 2" xfId="2748"/>
    <cellStyle name="Moneda 7 4 4 2 3" xfId="2747"/>
    <cellStyle name="Moneda 7 4 4 3" xfId="2749"/>
    <cellStyle name="Moneda 7 4 4 4" xfId="2746"/>
    <cellStyle name="Moneda 7 4 5" xfId="759"/>
    <cellStyle name="Moneda 7 4 5 2" xfId="2751"/>
    <cellStyle name="Moneda 7 4 5 3" xfId="2750"/>
    <cellStyle name="Moneda 7 4 6" xfId="2752"/>
    <cellStyle name="Moneda 7 4 7" xfId="2737"/>
    <cellStyle name="Moneda 7 5" xfId="206"/>
    <cellStyle name="Moneda 7 5 2" xfId="837"/>
    <cellStyle name="Moneda 7 5 2 2" xfId="2755"/>
    <cellStyle name="Moneda 7 5 2 3" xfId="2754"/>
    <cellStyle name="Moneda 7 5 3" xfId="2756"/>
    <cellStyle name="Moneda 7 5 4" xfId="2753"/>
    <cellStyle name="Moneda 7 6" xfId="365"/>
    <cellStyle name="Moneda 7 6 2" xfId="995"/>
    <cellStyle name="Moneda 7 6 2 2" xfId="2759"/>
    <cellStyle name="Moneda 7 6 2 3" xfId="2758"/>
    <cellStyle name="Moneda 7 6 3" xfId="2760"/>
    <cellStyle name="Moneda 7 6 4" xfId="2757"/>
    <cellStyle name="Moneda 7 7" xfId="523"/>
    <cellStyle name="Moneda 7 7 2" xfId="1153"/>
    <cellStyle name="Moneda 7 7 2 2" xfId="2763"/>
    <cellStyle name="Moneda 7 7 2 3" xfId="2762"/>
    <cellStyle name="Moneda 7 7 3" xfId="2764"/>
    <cellStyle name="Moneda 7 7 4" xfId="2761"/>
    <cellStyle name="Moneda 7 8" xfId="681"/>
    <cellStyle name="Moneda 7 8 2" xfId="2766"/>
    <cellStyle name="Moneda 7 8 3" xfId="2765"/>
    <cellStyle name="Moneda 7 9" xfId="2767"/>
    <cellStyle name="Moneda 8" xfId="23"/>
    <cellStyle name="Moneda 8 10" xfId="2768"/>
    <cellStyle name="Moneda 8 2" xfId="67"/>
    <cellStyle name="Moneda 8 2 2" xfId="145"/>
    <cellStyle name="Moneda 8 2 2 2" xfId="301"/>
    <cellStyle name="Moneda 8 2 2 2 2" xfId="932"/>
    <cellStyle name="Moneda 8 2 2 2 2 2" xfId="2773"/>
    <cellStyle name="Moneda 8 2 2 2 2 3" xfId="2772"/>
    <cellStyle name="Moneda 8 2 2 2 3" xfId="2774"/>
    <cellStyle name="Moneda 8 2 2 2 4" xfId="2771"/>
    <cellStyle name="Moneda 8 2 2 3" xfId="460"/>
    <cellStyle name="Moneda 8 2 2 3 2" xfId="1090"/>
    <cellStyle name="Moneda 8 2 2 3 2 2" xfId="2777"/>
    <cellStyle name="Moneda 8 2 2 3 2 3" xfId="2776"/>
    <cellStyle name="Moneda 8 2 2 3 3" xfId="2778"/>
    <cellStyle name="Moneda 8 2 2 3 4" xfId="2775"/>
    <cellStyle name="Moneda 8 2 2 4" xfId="618"/>
    <cellStyle name="Moneda 8 2 2 4 2" xfId="1248"/>
    <cellStyle name="Moneda 8 2 2 4 2 2" xfId="2781"/>
    <cellStyle name="Moneda 8 2 2 4 2 3" xfId="2780"/>
    <cellStyle name="Moneda 8 2 2 4 3" xfId="2782"/>
    <cellStyle name="Moneda 8 2 2 4 4" xfId="2779"/>
    <cellStyle name="Moneda 8 2 2 5" xfId="776"/>
    <cellStyle name="Moneda 8 2 2 5 2" xfId="2784"/>
    <cellStyle name="Moneda 8 2 2 5 3" xfId="2783"/>
    <cellStyle name="Moneda 8 2 2 6" xfId="2785"/>
    <cellStyle name="Moneda 8 2 2 7" xfId="2770"/>
    <cellStyle name="Moneda 8 2 3" xfId="223"/>
    <cellStyle name="Moneda 8 2 3 2" xfId="854"/>
    <cellStyle name="Moneda 8 2 3 2 2" xfId="2788"/>
    <cellStyle name="Moneda 8 2 3 2 3" xfId="2787"/>
    <cellStyle name="Moneda 8 2 3 3" xfId="2789"/>
    <cellStyle name="Moneda 8 2 3 4" xfId="2786"/>
    <cellStyle name="Moneda 8 2 4" xfId="382"/>
    <cellStyle name="Moneda 8 2 4 2" xfId="1012"/>
    <cellStyle name="Moneda 8 2 4 2 2" xfId="2792"/>
    <cellStyle name="Moneda 8 2 4 2 3" xfId="2791"/>
    <cellStyle name="Moneda 8 2 4 3" xfId="2793"/>
    <cellStyle name="Moneda 8 2 4 4" xfId="2790"/>
    <cellStyle name="Moneda 8 2 5" xfId="540"/>
    <cellStyle name="Moneda 8 2 5 2" xfId="1170"/>
    <cellStyle name="Moneda 8 2 5 2 2" xfId="2796"/>
    <cellStyle name="Moneda 8 2 5 2 3" xfId="2795"/>
    <cellStyle name="Moneda 8 2 5 3" xfId="2797"/>
    <cellStyle name="Moneda 8 2 5 4" xfId="2794"/>
    <cellStyle name="Moneda 8 2 6" xfId="698"/>
    <cellStyle name="Moneda 8 2 6 2" xfId="2799"/>
    <cellStyle name="Moneda 8 2 6 3" xfId="2798"/>
    <cellStyle name="Moneda 8 2 7" xfId="2800"/>
    <cellStyle name="Moneda 8 2 8" xfId="2769"/>
    <cellStyle name="Moneda 8 3" xfId="93"/>
    <cellStyle name="Moneda 8 3 2" xfId="171"/>
    <cellStyle name="Moneda 8 3 2 2" xfId="327"/>
    <cellStyle name="Moneda 8 3 2 2 2" xfId="958"/>
    <cellStyle name="Moneda 8 3 2 2 2 2" xfId="2805"/>
    <cellStyle name="Moneda 8 3 2 2 2 3" xfId="2804"/>
    <cellStyle name="Moneda 8 3 2 2 3" xfId="2806"/>
    <cellStyle name="Moneda 8 3 2 2 4" xfId="2803"/>
    <cellStyle name="Moneda 8 3 2 3" xfId="486"/>
    <cellStyle name="Moneda 8 3 2 3 2" xfId="1116"/>
    <cellStyle name="Moneda 8 3 2 3 2 2" xfId="2809"/>
    <cellStyle name="Moneda 8 3 2 3 2 3" xfId="2808"/>
    <cellStyle name="Moneda 8 3 2 3 3" xfId="2810"/>
    <cellStyle name="Moneda 8 3 2 3 4" xfId="2807"/>
    <cellStyle name="Moneda 8 3 2 4" xfId="644"/>
    <cellStyle name="Moneda 8 3 2 4 2" xfId="1274"/>
    <cellStyle name="Moneda 8 3 2 4 2 2" xfId="2813"/>
    <cellStyle name="Moneda 8 3 2 4 2 3" xfId="2812"/>
    <cellStyle name="Moneda 8 3 2 4 3" xfId="2814"/>
    <cellStyle name="Moneda 8 3 2 4 4" xfId="2811"/>
    <cellStyle name="Moneda 8 3 2 5" xfId="802"/>
    <cellStyle name="Moneda 8 3 2 5 2" xfId="2816"/>
    <cellStyle name="Moneda 8 3 2 5 3" xfId="2815"/>
    <cellStyle name="Moneda 8 3 2 6" xfId="2817"/>
    <cellStyle name="Moneda 8 3 2 7" xfId="2802"/>
    <cellStyle name="Moneda 8 3 3" xfId="249"/>
    <cellStyle name="Moneda 8 3 3 2" xfId="880"/>
    <cellStyle name="Moneda 8 3 3 2 2" xfId="2820"/>
    <cellStyle name="Moneda 8 3 3 2 3" xfId="2819"/>
    <cellStyle name="Moneda 8 3 3 3" xfId="2821"/>
    <cellStyle name="Moneda 8 3 3 4" xfId="2818"/>
    <cellStyle name="Moneda 8 3 4" xfId="408"/>
    <cellStyle name="Moneda 8 3 4 2" xfId="1038"/>
    <cellStyle name="Moneda 8 3 4 2 2" xfId="2824"/>
    <cellStyle name="Moneda 8 3 4 2 3" xfId="2823"/>
    <cellStyle name="Moneda 8 3 4 3" xfId="2825"/>
    <cellStyle name="Moneda 8 3 4 4" xfId="2822"/>
    <cellStyle name="Moneda 8 3 5" xfId="566"/>
    <cellStyle name="Moneda 8 3 5 2" xfId="1196"/>
    <cellStyle name="Moneda 8 3 5 2 2" xfId="2828"/>
    <cellStyle name="Moneda 8 3 5 2 3" xfId="2827"/>
    <cellStyle name="Moneda 8 3 5 3" xfId="2829"/>
    <cellStyle name="Moneda 8 3 5 4" xfId="2826"/>
    <cellStyle name="Moneda 8 3 6" xfId="724"/>
    <cellStyle name="Moneda 8 3 6 2" xfId="2831"/>
    <cellStyle name="Moneda 8 3 6 3" xfId="2830"/>
    <cellStyle name="Moneda 8 3 7" xfId="2832"/>
    <cellStyle name="Moneda 8 3 8" xfId="2801"/>
    <cellStyle name="Moneda 8 4" xfId="119"/>
    <cellStyle name="Moneda 8 4 2" xfId="275"/>
    <cellStyle name="Moneda 8 4 2 2" xfId="906"/>
    <cellStyle name="Moneda 8 4 2 2 2" xfId="2836"/>
    <cellStyle name="Moneda 8 4 2 2 3" xfId="2835"/>
    <cellStyle name="Moneda 8 4 2 3" xfId="2837"/>
    <cellStyle name="Moneda 8 4 2 4" xfId="2834"/>
    <cellStyle name="Moneda 8 4 3" xfId="434"/>
    <cellStyle name="Moneda 8 4 3 2" xfId="1064"/>
    <cellStyle name="Moneda 8 4 3 2 2" xfId="2840"/>
    <cellStyle name="Moneda 8 4 3 2 3" xfId="2839"/>
    <cellStyle name="Moneda 8 4 3 3" xfId="2841"/>
    <cellStyle name="Moneda 8 4 3 4" xfId="2838"/>
    <cellStyle name="Moneda 8 4 4" xfId="592"/>
    <cellStyle name="Moneda 8 4 4 2" xfId="1222"/>
    <cellStyle name="Moneda 8 4 4 2 2" xfId="2844"/>
    <cellStyle name="Moneda 8 4 4 2 3" xfId="2843"/>
    <cellStyle name="Moneda 8 4 4 3" xfId="2845"/>
    <cellStyle name="Moneda 8 4 4 4" xfId="2842"/>
    <cellStyle name="Moneda 8 4 5" xfId="750"/>
    <cellStyle name="Moneda 8 4 5 2" xfId="2847"/>
    <cellStyle name="Moneda 8 4 5 3" xfId="2846"/>
    <cellStyle name="Moneda 8 4 6" xfId="2848"/>
    <cellStyle name="Moneda 8 4 7" xfId="2833"/>
    <cellStyle name="Moneda 8 5" xfId="197"/>
    <cellStyle name="Moneda 8 5 2" xfId="828"/>
    <cellStyle name="Moneda 8 5 2 2" xfId="2851"/>
    <cellStyle name="Moneda 8 5 2 3" xfId="2850"/>
    <cellStyle name="Moneda 8 5 3" xfId="2852"/>
    <cellStyle name="Moneda 8 5 4" xfId="2849"/>
    <cellStyle name="Moneda 8 6" xfId="356"/>
    <cellStyle name="Moneda 8 6 2" xfId="986"/>
    <cellStyle name="Moneda 8 6 2 2" xfId="2855"/>
    <cellStyle name="Moneda 8 6 2 3" xfId="2854"/>
    <cellStyle name="Moneda 8 6 3" xfId="2856"/>
    <cellStyle name="Moneda 8 6 4" xfId="2853"/>
    <cellStyle name="Moneda 8 7" xfId="514"/>
    <cellStyle name="Moneda 8 7 2" xfId="1144"/>
    <cellStyle name="Moneda 8 7 2 2" xfId="2859"/>
    <cellStyle name="Moneda 8 7 2 3" xfId="2858"/>
    <cellStyle name="Moneda 8 7 3" xfId="2860"/>
    <cellStyle name="Moneda 8 7 4" xfId="2857"/>
    <cellStyle name="Moneda 8 8" xfId="672"/>
    <cellStyle name="Moneda 8 8 2" xfId="2862"/>
    <cellStyle name="Moneda 8 8 3" xfId="2861"/>
    <cellStyle name="Moneda 8 9" xfId="2863"/>
    <cellStyle name="Moneda 9" xfId="24"/>
    <cellStyle name="Moneda 9 10" xfId="2864"/>
    <cellStyle name="Moneda 9 2" xfId="68"/>
    <cellStyle name="Moneda 9 2 2" xfId="146"/>
    <cellStyle name="Moneda 9 2 2 2" xfId="302"/>
    <cellStyle name="Moneda 9 2 2 2 2" xfId="933"/>
    <cellStyle name="Moneda 9 2 2 2 2 2" xfId="2869"/>
    <cellStyle name="Moneda 9 2 2 2 2 3" xfId="2868"/>
    <cellStyle name="Moneda 9 2 2 2 3" xfId="2870"/>
    <cellStyle name="Moneda 9 2 2 2 4" xfId="2867"/>
    <cellStyle name="Moneda 9 2 2 3" xfId="461"/>
    <cellStyle name="Moneda 9 2 2 3 2" xfId="1091"/>
    <cellStyle name="Moneda 9 2 2 3 2 2" xfId="2873"/>
    <cellStyle name="Moneda 9 2 2 3 2 3" xfId="2872"/>
    <cellStyle name="Moneda 9 2 2 3 3" xfId="2874"/>
    <cellStyle name="Moneda 9 2 2 3 4" xfId="2871"/>
    <cellStyle name="Moneda 9 2 2 4" xfId="619"/>
    <cellStyle name="Moneda 9 2 2 4 2" xfId="1249"/>
    <cellStyle name="Moneda 9 2 2 4 2 2" xfId="2877"/>
    <cellStyle name="Moneda 9 2 2 4 2 3" xfId="2876"/>
    <cellStyle name="Moneda 9 2 2 4 3" xfId="2878"/>
    <cellStyle name="Moneda 9 2 2 4 4" xfId="2875"/>
    <cellStyle name="Moneda 9 2 2 5" xfId="777"/>
    <cellStyle name="Moneda 9 2 2 5 2" xfId="2880"/>
    <cellStyle name="Moneda 9 2 2 5 3" xfId="2879"/>
    <cellStyle name="Moneda 9 2 2 6" xfId="2881"/>
    <cellStyle name="Moneda 9 2 2 7" xfId="2866"/>
    <cellStyle name="Moneda 9 2 3" xfId="224"/>
    <cellStyle name="Moneda 9 2 3 2" xfId="855"/>
    <cellStyle name="Moneda 9 2 3 2 2" xfId="2884"/>
    <cellStyle name="Moneda 9 2 3 2 3" xfId="2883"/>
    <cellStyle name="Moneda 9 2 3 3" xfId="2885"/>
    <cellStyle name="Moneda 9 2 3 4" xfId="2882"/>
    <cellStyle name="Moneda 9 2 4" xfId="383"/>
    <cellStyle name="Moneda 9 2 4 2" xfId="1013"/>
    <cellStyle name="Moneda 9 2 4 2 2" xfId="2888"/>
    <cellStyle name="Moneda 9 2 4 2 3" xfId="2887"/>
    <cellStyle name="Moneda 9 2 4 3" xfId="2889"/>
    <cellStyle name="Moneda 9 2 4 4" xfId="2886"/>
    <cellStyle name="Moneda 9 2 5" xfId="541"/>
    <cellStyle name="Moneda 9 2 5 2" xfId="1171"/>
    <cellStyle name="Moneda 9 2 5 2 2" xfId="2892"/>
    <cellStyle name="Moneda 9 2 5 2 3" xfId="2891"/>
    <cellStyle name="Moneda 9 2 5 3" xfId="2893"/>
    <cellStyle name="Moneda 9 2 5 4" xfId="2890"/>
    <cellStyle name="Moneda 9 2 6" xfId="699"/>
    <cellStyle name="Moneda 9 2 6 2" xfId="2895"/>
    <cellStyle name="Moneda 9 2 6 3" xfId="2894"/>
    <cellStyle name="Moneda 9 2 7" xfId="2896"/>
    <cellStyle name="Moneda 9 2 8" xfId="2865"/>
    <cellStyle name="Moneda 9 3" xfId="94"/>
    <cellStyle name="Moneda 9 3 2" xfId="172"/>
    <cellStyle name="Moneda 9 3 2 2" xfId="328"/>
    <cellStyle name="Moneda 9 3 2 2 2" xfId="959"/>
    <cellStyle name="Moneda 9 3 2 2 2 2" xfId="2901"/>
    <cellStyle name="Moneda 9 3 2 2 2 3" xfId="2900"/>
    <cellStyle name="Moneda 9 3 2 2 3" xfId="2902"/>
    <cellStyle name="Moneda 9 3 2 2 4" xfId="2899"/>
    <cellStyle name="Moneda 9 3 2 3" xfId="487"/>
    <cellStyle name="Moneda 9 3 2 3 2" xfId="1117"/>
    <cellStyle name="Moneda 9 3 2 3 2 2" xfId="2905"/>
    <cellStyle name="Moneda 9 3 2 3 2 3" xfId="2904"/>
    <cellStyle name="Moneda 9 3 2 3 3" xfId="2906"/>
    <cellStyle name="Moneda 9 3 2 3 4" xfId="2903"/>
    <cellStyle name="Moneda 9 3 2 4" xfId="645"/>
    <cellStyle name="Moneda 9 3 2 4 2" xfId="1275"/>
    <cellStyle name="Moneda 9 3 2 4 2 2" xfId="2909"/>
    <cellStyle name="Moneda 9 3 2 4 2 3" xfId="2908"/>
    <cellStyle name="Moneda 9 3 2 4 3" xfId="2910"/>
    <cellStyle name="Moneda 9 3 2 4 4" xfId="2907"/>
    <cellStyle name="Moneda 9 3 2 5" xfId="803"/>
    <cellStyle name="Moneda 9 3 2 5 2" xfId="2912"/>
    <cellStyle name="Moneda 9 3 2 5 3" xfId="2911"/>
    <cellStyle name="Moneda 9 3 2 6" xfId="2913"/>
    <cellStyle name="Moneda 9 3 2 7" xfId="2898"/>
    <cellStyle name="Moneda 9 3 3" xfId="250"/>
    <cellStyle name="Moneda 9 3 3 2" xfId="881"/>
    <cellStyle name="Moneda 9 3 3 2 2" xfId="2916"/>
    <cellStyle name="Moneda 9 3 3 2 3" xfId="2915"/>
    <cellStyle name="Moneda 9 3 3 3" xfId="2917"/>
    <cellStyle name="Moneda 9 3 3 4" xfId="2914"/>
    <cellStyle name="Moneda 9 3 4" xfId="409"/>
    <cellStyle name="Moneda 9 3 4 2" xfId="1039"/>
    <cellStyle name="Moneda 9 3 4 2 2" xfId="2920"/>
    <cellStyle name="Moneda 9 3 4 2 3" xfId="2919"/>
    <cellStyle name="Moneda 9 3 4 3" xfId="2921"/>
    <cellStyle name="Moneda 9 3 4 4" xfId="2918"/>
    <cellStyle name="Moneda 9 3 5" xfId="567"/>
    <cellStyle name="Moneda 9 3 5 2" xfId="1197"/>
    <cellStyle name="Moneda 9 3 5 2 2" xfId="2924"/>
    <cellStyle name="Moneda 9 3 5 2 3" xfId="2923"/>
    <cellStyle name="Moneda 9 3 5 3" xfId="2925"/>
    <cellStyle name="Moneda 9 3 5 4" xfId="2922"/>
    <cellStyle name="Moneda 9 3 6" xfId="725"/>
    <cellStyle name="Moneda 9 3 6 2" xfId="2927"/>
    <cellStyle name="Moneda 9 3 6 3" xfId="2926"/>
    <cellStyle name="Moneda 9 3 7" xfId="2928"/>
    <cellStyle name="Moneda 9 3 8" xfId="2897"/>
    <cellStyle name="Moneda 9 4" xfId="120"/>
    <cellStyle name="Moneda 9 4 2" xfId="276"/>
    <cellStyle name="Moneda 9 4 2 2" xfId="907"/>
    <cellStyle name="Moneda 9 4 2 2 2" xfId="2932"/>
    <cellStyle name="Moneda 9 4 2 2 3" xfId="2931"/>
    <cellStyle name="Moneda 9 4 2 3" xfId="2933"/>
    <cellStyle name="Moneda 9 4 2 4" xfId="2930"/>
    <cellStyle name="Moneda 9 4 3" xfId="435"/>
    <cellStyle name="Moneda 9 4 3 2" xfId="1065"/>
    <cellStyle name="Moneda 9 4 3 2 2" xfId="2936"/>
    <cellStyle name="Moneda 9 4 3 2 3" xfId="2935"/>
    <cellStyle name="Moneda 9 4 3 3" xfId="2937"/>
    <cellStyle name="Moneda 9 4 3 4" xfId="2934"/>
    <cellStyle name="Moneda 9 4 4" xfId="593"/>
    <cellStyle name="Moneda 9 4 4 2" xfId="1223"/>
    <cellStyle name="Moneda 9 4 4 2 2" xfId="2940"/>
    <cellStyle name="Moneda 9 4 4 2 3" xfId="2939"/>
    <cellStyle name="Moneda 9 4 4 3" xfId="2941"/>
    <cellStyle name="Moneda 9 4 4 4" xfId="2938"/>
    <cellStyle name="Moneda 9 4 5" xfId="751"/>
    <cellStyle name="Moneda 9 4 5 2" xfId="2943"/>
    <cellStyle name="Moneda 9 4 5 3" xfId="2942"/>
    <cellStyle name="Moneda 9 4 6" xfId="2944"/>
    <cellStyle name="Moneda 9 4 7" xfId="2929"/>
    <cellStyle name="Moneda 9 5" xfId="198"/>
    <cellStyle name="Moneda 9 5 2" xfId="829"/>
    <cellStyle name="Moneda 9 5 2 2" xfId="2947"/>
    <cellStyle name="Moneda 9 5 2 3" xfId="2946"/>
    <cellStyle name="Moneda 9 5 3" xfId="2948"/>
    <cellStyle name="Moneda 9 5 4" xfId="2945"/>
    <cellStyle name="Moneda 9 6" xfId="357"/>
    <cellStyle name="Moneda 9 6 2" xfId="987"/>
    <cellStyle name="Moneda 9 6 2 2" xfId="2951"/>
    <cellStyle name="Moneda 9 6 2 3" xfId="2950"/>
    <cellStyle name="Moneda 9 6 3" xfId="2952"/>
    <cellStyle name="Moneda 9 6 4" xfId="2949"/>
    <cellStyle name="Moneda 9 7" xfId="515"/>
    <cellStyle name="Moneda 9 7 2" xfId="1145"/>
    <cellStyle name="Moneda 9 7 2 2" xfId="2955"/>
    <cellStyle name="Moneda 9 7 2 3" xfId="2954"/>
    <cellStyle name="Moneda 9 7 3" xfId="2956"/>
    <cellStyle name="Moneda 9 7 4" xfId="2953"/>
    <cellStyle name="Moneda 9 8" xfId="673"/>
    <cellStyle name="Moneda 9 8 2" xfId="2958"/>
    <cellStyle name="Moneda 9 8 3" xfId="2957"/>
    <cellStyle name="Moneda 9 9" xfId="2959"/>
    <cellStyle name="Normal" xfId="0" builtinId="0"/>
    <cellStyle name="Normal 10" xfId="2960"/>
    <cellStyle name="Normal 2" xfId="6"/>
    <cellStyle name="Normal 2 10" xfId="352"/>
    <cellStyle name="Normal 2 10 2" xfId="982"/>
    <cellStyle name="Normal 2 10 2 2" xfId="2964"/>
    <cellStyle name="Normal 2 10 2 3" xfId="2963"/>
    <cellStyle name="Normal 2 10 3" xfId="2965"/>
    <cellStyle name="Normal 2 10 4" xfId="2962"/>
    <cellStyle name="Normal 2 11" xfId="510"/>
    <cellStyle name="Normal 2 11 2" xfId="1140"/>
    <cellStyle name="Normal 2 11 2 2" xfId="2968"/>
    <cellStyle name="Normal 2 11 2 3" xfId="2967"/>
    <cellStyle name="Normal 2 11 3" xfId="2969"/>
    <cellStyle name="Normal 2 11 4" xfId="2966"/>
    <cellStyle name="Normal 2 12" xfId="668"/>
    <cellStyle name="Normal 2 12 2" xfId="2971"/>
    <cellStyle name="Normal 2 12 3" xfId="2970"/>
    <cellStyle name="Normal 2 13" xfId="19"/>
    <cellStyle name="Normal 2 13 2" xfId="2972"/>
    <cellStyle name="Normal 2 14" xfId="2961"/>
    <cellStyle name="Normal 2 2" xfId="13"/>
    <cellStyle name="Normal 2 2 2" xfId="52"/>
    <cellStyle name="Normal 2 3" xfId="53"/>
    <cellStyle name="Normal 2 4" xfId="51"/>
    <cellStyle name="Normal 2 4 10" xfId="2973"/>
    <cellStyle name="Normal 2 4 2" xfId="82"/>
    <cellStyle name="Normal 2 4 2 2" xfId="160"/>
    <cellStyle name="Normal 2 4 2 2 2" xfId="316"/>
    <cellStyle name="Normal 2 4 2 2 2 2" xfId="947"/>
    <cellStyle name="Normal 2 4 2 2 2 2 2" xfId="2978"/>
    <cellStyle name="Normal 2 4 2 2 2 2 3" xfId="2977"/>
    <cellStyle name="Normal 2 4 2 2 2 3" xfId="2979"/>
    <cellStyle name="Normal 2 4 2 2 2 4" xfId="2976"/>
    <cellStyle name="Normal 2 4 2 2 3" xfId="475"/>
    <cellStyle name="Normal 2 4 2 2 3 2" xfId="1105"/>
    <cellStyle name="Normal 2 4 2 2 3 2 2" xfId="2982"/>
    <cellStyle name="Normal 2 4 2 2 3 2 3" xfId="2981"/>
    <cellStyle name="Normal 2 4 2 2 3 3" xfId="2983"/>
    <cellStyle name="Normal 2 4 2 2 3 4" xfId="2980"/>
    <cellStyle name="Normal 2 4 2 2 4" xfId="633"/>
    <cellStyle name="Normal 2 4 2 2 4 2" xfId="1263"/>
    <cellStyle name="Normal 2 4 2 2 4 2 2" xfId="2986"/>
    <cellStyle name="Normal 2 4 2 2 4 2 3" xfId="2985"/>
    <cellStyle name="Normal 2 4 2 2 4 3" xfId="2987"/>
    <cellStyle name="Normal 2 4 2 2 4 4" xfId="2984"/>
    <cellStyle name="Normal 2 4 2 2 5" xfId="791"/>
    <cellStyle name="Normal 2 4 2 2 5 2" xfId="2989"/>
    <cellStyle name="Normal 2 4 2 2 5 3" xfId="2988"/>
    <cellStyle name="Normal 2 4 2 2 6" xfId="2990"/>
    <cellStyle name="Normal 2 4 2 2 7" xfId="2975"/>
    <cellStyle name="Normal 2 4 2 3" xfId="238"/>
    <cellStyle name="Normal 2 4 2 3 2" xfId="869"/>
    <cellStyle name="Normal 2 4 2 3 2 2" xfId="2993"/>
    <cellStyle name="Normal 2 4 2 3 2 3" xfId="2992"/>
    <cellStyle name="Normal 2 4 2 3 3" xfId="2994"/>
    <cellStyle name="Normal 2 4 2 3 4" xfId="2991"/>
    <cellStyle name="Normal 2 4 2 4" xfId="397"/>
    <cellStyle name="Normal 2 4 2 4 2" xfId="1027"/>
    <cellStyle name="Normal 2 4 2 4 2 2" xfId="2997"/>
    <cellStyle name="Normal 2 4 2 4 2 3" xfId="2996"/>
    <cellStyle name="Normal 2 4 2 4 3" xfId="2998"/>
    <cellStyle name="Normal 2 4 2 4 4" xfId="2995"/>
    <cellStyle name="Normal 2 4 2 5" xfId="555"/>
    <cellStyle name="Normal 2 4 2 5 2" xfId="1185"/>
    <cellStyle name="Normal 2 4 2 5 2 2" xfId="3001"/>
    <cellStyle name="Normal 2 4 2 5 2 3" xfId="3000"/>
    <cellStyle name="Normal 2 4 2 5 3" xfId="3002"/>
    <cellStyle name="Normal 2 4 2 5 4" xfId="2999"/>
    <cellStyle name="Normal 2 4 2 6" xfId="713"/>
    <cellStyle name="Normal 2 4 2 6 2" xfId="3004"/>
    <cellStyle name="Normal 2 4 2 6 3" xfId="3003"/>
    <cellStyle name="Normal 2 4 2 7" xfId="3005"/>
    <cellStyle name="Normal 2 4 2 8" xfId="2974"/>
    <cellStyle name="Normal 2 4 3" xfId="108"/>
    <cellStyle name="Normal 2 4 3 2" xfId="186"/>
    <cellStyle name="Normal 2 4 3 2 2" xfId="342"/>
    <cellStyle name="Normal 2 4 3 2 2 2" xfId="973"/>
    <cellStyle name="Normal 2 4 3 2 2 2 2" xfId="3010"/>
    <cellStyle name="Normal 2 4 3 2 2 2 3" xfId="3009"/>
    <cellStyle name="Normal 2 4 3 2 2 3" xfId="3011"/>
    <cellStyle name="Normal 2 4 3 2 2 4" xfId="3008"/>
    <cellStyle name="Normal 2 4 3 2 3" xfId="501"/>
    <cellStyle name="Normal 2 4 3 2 3 2" xfId="1131"/>
    <cellStyle name="Normal 2 4 3 2 3 2 2" xfId="3014"/>
    <cellStyle name="Normal 2 4 3 2 3 2 3" xfId="3013"/>
    <cellStyle name="Normal 2 4 3 2 3 3" xfId="3015"/>
    <cellStyle name="Normal 2 4 3 2 3 4" xfId="3012"/>
    <cellStyle name="Normal 2 4 3 2 4" xfId="659"/>
    <cellStyle name="Normal 2 4 3 2 4 2" xfId="1289"/>
    <cellStyle name="Normal 2 4 3 2 4 2 2" xfId="3018"/>
    <cellStyle name="Normal 2 4 3 2 4 2 3" xfId="3017"/>
    <cellStyle name="Normal 2 4 3 2 4 3" xfId="3019"/>
    <cellStyle name="Normal 2 4 3 2 4 4" xfId="3016"/>
    <cellStyle name="Normal 2 4 3 2 5" xfId="817"/>
    <cellStyle name="Normal 2 4 3 2 5 2" xfId="3021"/>
    <cellStyle name="Normal 2 4 3 2 5 3" xfId="3020"/>
    <cellStyle name="Normal 2 4 3 2 6" xfId="3022"/>
    <cellStyle name="Normal 2 4 3 2 7" xfId="3007"/>
    <cellStyle name="Normal 2 4 3 3" xfId="264"/>
    <cellStyle name="Normal 2 4 3 3 2" xfId="895"/>
    <cellStyle name="Normal 2 4 3 3 2 2" xfId="3025"/>
    <cellStyle name="Normal 2 4 3 3 2 3" xfId="3024"/>
    <cellStyle name="Normal 2 4 3 3 3" xfId="3026"/>
    <cellStyle name="Normal 2 4 3 3 4" xfId="3023"/>
    <cellStyle name="Normal 2 4 3 4" xfId="423"/>
    <cellStyle name="Normal 2 4 3 4 2" xfId="1053"/>
    <cellStyle name="Normal 2 4 3 4 2 2" xfId="3029"/>
    <cellStyle name="Normal 2 4 3 4 2 3" xfId="3028"/>
    <cellStyle name="Normal 2 4 3 4 3" xfId="3030"/>
    <cellStyle name="Normal 2 4 3 4 4" xfId="3027"/>
    <cellStyle name="Normal 2 4 3 5" xfId="581"/>
    <cellStyle name="Normal 2 4 3 5 2" xfId="1211"/>
    <cellStyle name="Normal 2 4 3 5 2 2" xfId="3033"/>
    <cellStyle name="Normal 2 4 3 5 2 3" xfId="3032"/>
    <cellStyle name="Normal 2 4 3 5 3" xfId="3034"/>
    <cellStyle name="Normal 2 4 3 5 4" xfId="3031"/>
    <cellStyle name="Normal 2 4 3 6" xfId="739"/>
    <cellStyle name="Normal 2 4 3 6 2" xfId="3036"/>
    <cellStyle name="Normal 2 4 3 6 3" xfId="3035"/>
    <cellStyle name="Normal 2 4 3 7" xfId="3037"/>
    <cellStyle name="Normal 2 4 3 8" xfId="3006"/>
    <cellStyle name="Normal 2 4 4" xfId="134"/>
    <cellStyle name="Normal 2 4 4 2" xfId="290"/>
    <cellStyle name="Normal 2 4 4 2 2" xfId="921"/>
    <cellStyle name="Normal 2 4 4 2 2 2" xfId="3041"/>
    <cellStyle name="Normal 2 4 4 2 2 3" xfId="3040"/>
    <cellStyle name="Normal 2 4 4 2 3" xfId="3042"/>
    <cellStyle name="Normal 2 4 4 2 4" xfId="3039"/>
    <cellStyle name="Normal 2 4 4 3" xfId="449"/>
    <cellStyle name="Normal 2 4 4 3 2" xfId="1079"/>
    <cellStyle name="Normal 2 4 4 3 2 2" xfId="3045"/>
    <cellStyle name="Normal 2 4 4 3 2 3" xfId="3044"/>
    <cellStyle name="Normal 2 4 4 3 3" xfId="3046"/>
    <cellStyle name="Normal 2 4 4 3 4" xfId="3043"/>
    <cellStyle name="Normal 2 4 4 4" xfId="607"/>
    <cellStyle name="Normal 2 4 4 4 2" xfId="1237"/>
    <cellStyle name="Normal 2 4 4 4 2 2" xfId="3049"/>
    <cellStyle name="Normal 2 4 4 4 2 3" xfId="3048"/>
    <cellStyle name="Normal 2 4 4 4 3" xfId="3050"/>
    <cellStyle name="Normal 2 4 4 4 4" xfId="3047"/>
    <cellStyle name="Normal 2 4 4 5" xfId="765"/>
    <cellStyle name="Normal 2 4 4 5 2" xfId="3052"/>
    <cellStyle name="Normal 2 4 4 5 3" xfId="3051"/>
    <cellStyle name="Normal 2 4 4 6" xfId="3053"/>
    <cellStyle name="Normal 2 4 4 7" xfId="3038"/>
    <cellStyle name="Normal 2 4 5" xfId="212"/>
    <cellStyle name="Normal 2 4 5 2" xfId="843"/>
    <cellStyle name="Normal 2 4 5 2 2" xfId="3056"/>
    <cellStyle name="Normal 2 4 5 2 3" xfId="3055"/>
    <cellStyle name="Normal 2 4 5 3" xfId="3057"/>
    <cellStyle name="Normal 2 4 5 4" xfId="3054"/>
    <cellStyle name="Normal 2 4 6" xfId="371"/>
    <cellStyle name="Normal 2 4 6 2" xfId="1001"/>
    <cellStyle name="Normal 2 4 6 2 2" xfId="3060"/>
    <cellStyle name="Normal 2 4 6 2 3" xfId="3059"/>
    <cellStyle name="Normal 2 4 6 3" xfId="3061"/>
    <cellStyle name="Normal 2 4 6 4" xfId="3058"/>
    <cellStyle name="Normal 2 4 7" xfId="529"/>
    <cellStyle name="Normal 2 4 7 2" xfId="1159"/>
    <cellStyle name="Normal 2 4 7 2 2" xfId="3064"/>
    <cellStyle name="Normal 2 4 7 2 3" xfId="3063"/>
    <cellStyle name="Normal 2 4 7 3" xfId="3065"/>
    <cellStyle name="Normal 2 4 7 4" xfId="3062"/>
    <cellStyle name="Normal 2 4 8" xfId="687"/>
    <cellStyle name="Normal 2 4 8 2" xfId="3067"/>
    <cellStyle name="Normal 2 4 8 3" xfId="3066"/>
    <cellStyle name="Normal 2 4 9" xfId="3068"/>
    <cellStyle name="Normal 2 5" xfId="63"/>
    <cellStyle name="Normal 2 5 2" xfId="141"/>
    <cellStyle name="Normal 2 5 2 2" xfId="297"/>
    <cellStyle name="Normal 2 5 2 2 2" xfId="928"/>
    <cellStyle name="Normal 2 5 2 2 2 2" xfId="3073"/>
    <cellStyle name="Normal 2 5 2 2 2 3" xfId="3072"/>
    <cellStyle name="Normal 2 5 2 2 3" xfId="3074"/>
    <cellStyle name="Normal 2 5 2 2 4" xfId="3071"/>
    <cellStyle name="Normal 2 5 2 3" xfId="456"/>
    <cellStyle name="Normal 2 5 2 3 2" xfId="1086"/>
    <cellStyle name="Normal 2 5 2 3 2 2" xfId="3077"/>
    <cellStyle name="Normal 2 5 2 3 2 3" xfId="3076"/>
    <cellStyle name="Normal 2 5 2 3 3" xfId="3078"/>
    <cellStyle name="Normal 2 5 2 3 4" xfId="3075"/>
    <cellStyle name="Normal 2 5 2 4" xfId="614"/>
    <cellStyle name="Normal 2 5 2 4 2" xfId="1244"/>
    <cellStyle name="Normal 2 5 2 4 2 2" xfId="3081"/>
    <cellStyle name="Normal 2 5 2 4 2 3" xfId="3080"/>
    <cellStyle name="Normal 2 5 2 4 3" xfId="3082"/>
    <cellStyle name="Normal 2 5 2 4 4" xfId="3079"/>
    <cellStyle name="Normal 2 5 2 5" xfId="772"/>
    <cellStyle name="Normal 2 5 2 5 2" xfId="3084"/>
    <cellStyle name="Normal 2 5 2 5 3" xfId="3083"/>
    <cellStyle name="Normal 2 5 2 6" xfId="3085"/>
    <cellStyle name="Normal 2 5 2 7" xfId="3070"/>
    <cellStyle name="Normal 2 5 3" xfId="219"/>
    <cellStyle name="Normal 2 5 3 2" xfId="850"/>
    <cellStyle name="Normal 2 5 3 2 2" xfId="3088"/>
    <cellStyle name="Normal 2 5 3 2 3" xfId="3087"/>
    <cellStyle name="Normal 2 5 3 3" xfId="3089"/>
    <cellStyle name="Normal 2 5 3 4" xfId="3086"/>
    <cellStyle name="Normal 2 5 4" xfId="378"/>
    <cellStyle name="Normal 2 5 4 2" xfId="1008"/>
    <cellStyle name="Normal 2 5 4 2 2" xfId="3092"/>
    <cellStyle name="Normal 2 5 4 2 3" xfId="3091"/>
    <cellStyle name="Normal 2 5 4 3" xfId="3093"/>
    <cellStyle name="Normal 2 5 4 4" xfId="3090"/>
    <cellStyle name="Normal 2 5 5" xfId="536"/>
    <cellStyle name="Normal 2 5 5 2" xfId="1166"/>
    <cellStyle name="Normal 2 5 5 2 2" xfId="3096"/>
    <cellStyle name="Normal 2 5 5 2 3" xfId="3095"/>
    <cellStyle name="Normal 2 5 5 3" xfId="3097"/>
    <cellStyle name="Normal 2 5 5 4" xfId="3094"/>
    <cellStyle name="Normal 2 5 6" xfId="694"/>
    <cellStyle name="Normal 2 5 6 2" xfId="3099"/>
    <cellStyle name="Normal 2 5 6 3" xfId="3098"/>
    <cellStyle name="Normal 2 5 7" xfId="3100"/>
    <cellStyle name="Normal 2 5 8" xfId="3069"/>
    <cellStyle name="Normal 2 6" xfId="89"/>
    <cellStyle name="Normal 2 6 2" xfId="167"/>
    <cellStyle name="Normal 2 6 2 2" xfId="323"/>
    <cellStyle name="Normal 2 6 2 2 2" xfId="954"/>
    <cellStyle name="Normal 2 6 2 2 2 2" xfId="3105"/>
    <cellStyle name="Normal 2 6 2 2 2 3" xfId="3104"/>
    <cellStyle name="Normal 2 6 2 2 3" xfId="3106"/>
    <cellStyle name="Normal 2 6 2 2 4" xfId="3103"/>
    <cellStyle name="Normal 2 6 2 3" xfId="482"/>
    <cellStyle name="Normal 2 6 2 3 2" xfId="1112"/>
    <cellStyle name="Normal 2 6 2 3 2 2" xfId="3109"/>
    <cellStyle name="Normal 2 6 2 3 2 3" xfId="3108"/>
    <cellStyle name="Normal 2 6 2 3 3" xfId="3110"/>
    <cellStyle name="Normal 2 6 2 3 4" xfId="3107"/>
    <cellStyle name="Normal 2 6 2 4" xfId="640"/>
    <cellStyle name="Normal 2 6 2 4 2" xfId="1270"/>
    <cellStyle name="Normal 2 6 2 4 2 2" xfId="3113"/>
    <cellStyle name="Normal 2 6 2 4 2 3" xfId="3112"/>
    <cellStyle name="Normal 2 6 2 4 3" xfId="3114"/>
    <cellStyle name="Normal 2 6 2 4 4" xfId="3111"/>
    <cellStyle name="Normal 2 6 2 5" xfId="798"/>
    <cellStyle name="Normal 2 6 2 5 2" xfId="3116"/>
    <cellStyle name="Normal 2 6 2 5 3" xfId="3115"/>
    <cellStyle name="Normal 2 6 2 6" xfId="3117"/>
    <cellStyle name="Normal 2 6 2 7" xfId="3102"/>
    <cellStyle name="Normal 2 6 3" xfId="245"/>
    <cellStyle name="Normal 2 6 3 2" xfId="876"/>
    <cellStyle name="Normal 2 6 3 2 2" xfId="3120"/>
    <cellStyle name="Normal 2 6 3 2 3" xfId="3119"/>
    <cellStyle name="Normal 2 6 3 3" xfId="3121"/>
    <cellStyle name="Normal 2 6 3 4" xfId="3118"/>
    <cellStyle name="Normal 2 6 4" xfId="404"/>
    <cellStyle name="Normal 2 6 4 2" xfId="1034"/>
    <cellStyle name="Normal 2 6 4 2 2" xfId="3124"/>
    <cellStyle name="Normal 2 6 4 2 3" xfId="3123"/>
    <cellStyle name="Normal 2 6 4 3" xfId="3125"/>
    <cellStyle name="Normal 2 6 4 4" xfId="3122"/>
    <cellStyle name="Normal 2 6 5" xfId="562"/>
    <cellStyle name="Normal 2 6 5 2" xfId="1192"/>
    <cellStyle name="Normal 2 6 5 2 2" xfId="3128"/>
    <cellStyle name="Normal 2 6 5 2 3" xfId="3127"/>
    <cellStyle name="Normal 2 6 5 3" xfId="3129"/>
    <cellStyle name="Normal 2 6 5 4" xfId="3126"/>
    <cellStyle name="Normal 2 6 6" xfId="720"/>
    <cellStyle name="Normal 2 6 6 2" xfId="3131"/>
    <cellStyle name="Normal 2 6 6 3" xfId="3130"/>
    <cellStyle name="Normal 2 6 7" xfId="3132"/>
    <cellStyle name="Normal 2 6 8" xfId="3101"/>
    <cellStyle name="Normal 2 7" xfId="115"/>
    <cellStyle name="Normal 2 7 2" xfId="271"/>
    <cellStyle name="Normal 2 7 2 2" xfId="902"/>
    <cellStyle name="Normal 2 7 2 2 2" xfId="3136"/>
    <cellStyle name="Normal 2 7 2 2 3" xfId="3135"/>
    <cellStyle name="Normal 2 7 2 3" xfId="3137"/>
    <cellStyle name="Normal 2 7 2 4" xfId="3134"/>
    <cellStyle name="Normal 2 7 3" xfId="430"/>
    <cellStyle name="Normal 2 7 3 2" xfId="1060"/>
    <cellStyle name="Normal 2 7 3 2 2" xfId="3140"/>
    <cellStyle name="Normal 2 7 3 2 3" xfId="3139"/>
    <cellStyle name="Normal 2 7 3 3" xfId="3141"/>
    <cellStyle name="Normal 2 7 3 4" xfId="3138"/>
    <cellStyle name="Normal 2 7 4" xfId="588"/>
    <cellStyle name="Normal 2 7 4 2" xfId="1218"/>
    <cellStyle name="Normal 2 7 4 2 2" xfId="3144"/>
    <cellStyle name="Normal 2 7 4 2 3" xfId="3143"/>
    <cellStyle name="Normal 2 7 4 3" xfId="3145"/>
    <cellStyle name="Normal 2 7 4 4" xfId="3142"/>
    <cellStyle name="Normal 2 7 5" xfId="746"/>
    <cellStyle name="Normal 2 7 5 2" xfId="3147"/>
    <cellStyle name="Normal 2 7 5 3" xfId="3146"/>
    <cellStyle name="Normal 2 7 6" xfId="3148"/>
    <cellStyle name="Normal 2 7 7" xfId="3133"/>
    <cellStyle name="Normal 2 8" xfId="348"/>
    <cellStyle name="Normal 2 9" xfId="193"/>
    <cellStyle name="Normal 2 9 2" xfId="824"/>
    <cellStyle name="Normal 2 9 2 2" xfId="3151"/>
    <cellStyle name="Normal 2 9 2 3" xfId="3150"/>
    <cellStyle name="Normal 2 9 3" xfId="3152"/>
    <cellStyle name="Normal 2 9 4" xfId="3149"/>
    <cellStyle name="Normal 3" xfId="15"/>
    <cellStyle name="Normal 3 10" xfId="669"/>
    <cellStyle name="Normal 3 10 2" xfId="3155"/>
    <cellStyle name="Normal 3 10 3" xfId="3154"/>
    <cellStyle name="Normal 3 11" xfId="20"/>
    <cellStyle name="Normal 3 11 2" xfId="3156"/>
    <cellStyle name="Normal 3 12" xfId="3153"/>
    <cellStyle name="Normal 3 2" xfId="55"/>
    <cellStyle name="Normal 3 2 10" xfId="3158"/>
    <cellStyle name="Normal 3 2 11" xfId="3157"/>
    <cellStyle name="Normal 3 2 2" xfId="84"/>
    <cellStyle name="Normal 3 2 2 2" xfId="162"/>
    <cellStyle name="Normal 3 2 2 2 2" xfId="318"/>
    <cellStyle name="Normal 3 2 2 2 2 2" xfId="949"/>
    <cellStyle name="Normal 3 2 2 2 2 2 2" xfId="3163"/>
    <cellStyle name="Normal 3 2 2 2 2 2 3" xfId="3162"/>
    <cellStyle name="Normal 3 2 2 2 2 3" xfId="3164"/>
    <cellStyle name="Normal 3 2 2 2 2 4" xfId="3161"/>
    <cellStyle name="Normal 3 2 2 2 3" xfId="477"/>
    <cellStyle name="Normal 3 2 2 2 3 2" xfId="1107"/>
    <cellStyle name="Normal 3 2 2 2 3 2 2" xfId="3167"/>
    <cellStyle name="Normal 3 2 2 2 3 2 3" xfId="3166"/>
    <cellStyle name="Normal 3 2 2 2 3 3" xfId="3168"/>
    <cellStyle name="Normal 3 2 2 2 3 4" xfId="3165"/>
    <cellStyle name="Normal 3 2 2 2 4" xfId="635"/>
    <cellStyle name="Normal 3 2 2 2 4 2" xfId="1265"/>
    <cellStyle name="Normal 3 2 2 2 4 2 2" xfId="3171"/>
    <cellStyle name="Normal 3 2 2 2 4 2 3" xfId="3170"/>
    <cellStyle name="Normal 3 2 2 2 4 3" xfId="3172"/>
    <cellStyle name="Normal 3 2 2 2 4 4" xfId="3169"/>
    <cellStyle name="Normal 3 2 2 2 5" xfId="793"/>
    <cellStyle name="Normal 3 2 2 2 5 2" xfId="3174"/>
    <cellStyle name="Normal 3 2 2 2 5 3" xfId="3173"/>
    <cellStyle name="Normal 3 2 2 2 6" xfId="3175"/>
    <cellStyle name="Normal 3 2 2 2 7" xfId="3160"/>
    <cellStyle name="Normal 3 2 2 3" xfId="240"/>
    <cellStyle name="Normal 3 2 2 3 2" xfId="871"/>
    <cellStyle name="Normal 3 2 2 3 2 2" xfId="3178"/>
    <cellStyle name="Normal 3 2 2 3 2 3" xfId="3177"/>
    <cellStyle name="Normal 3 2 2 3 3" xfId="3179"/>
    <cellStyle name="Normal 3 2 2 3 4" xfId="3176"/>
    <cellStyle name="Normal 3 2 2 4" xfId="399"/>
    <cellStyle name="Normal 3 2 2 4 2" xfId="1029"/>
    <cellStyle name="Normal 3 2 2 4 2 2" xfId="3182"/>
    <cellStyle name="Normal 3 2 2 4 2 3" xfId="3181"/>
    <cellStyle name="Normal 3 2 2 4 3" xfId="3183"/>
    <cellStyle name="Normal 3 2 2 4 4" xfId="3180"/>
    <cellStyle name="Normal 3 2 2 5" xfId="557"/>
    <cellStyle name="Normal 3 2 2 5 2" xfId="1187"/>
    <cellStyle name="Normal 3 2 2 5 2 2" xfId="3186"/>
    <cellStyle name="Normal 3 2 2 5 2 3" xfId="3185"/>
    <cellStyle name="Normal 3 2 2 5 3" xfId="3187"/>
    <cellStyle name="Normal 3 2 2 5 4" xfId="3184"/>
    <cellStyle name="Normal 3 2 2 6" xfId="715"/>
    <cellStyle name="Normal 3 2 2 6 2" xfId="3189"/>
    <cellStyle name="Normal 3 2 2 6 3" xfId="3188"/>
    <cellStyle name="Normal 3 2 2 7" xfId="3190"/>
    <cellStyle name="Normal 3 2 2 8" xfId="3159"/>
    <cellStyle name="Normal 3 2 3" xfId="110"/>
    <cellStyle name="Normal 3 2 3 2" xfId="188"/>
    <cellStyle name="Normal 3 2 3 2 2" xfId="344"/>
    <cellStyle name="Normal 3 2 3 2 2 2" xfId="975"/>
    <cellStyle name="Normal 3 2 3 2 2 2 2" xfId="3195"/>
    <cellStyle name="Normal 3 2 3 2 2 2 3" xfId="3194"/>
    <cellStyle name="Normal 3 2 3 2 2 3" xfId="3196"/>
    <cellStyle name="Normal 3 2 3 2 2 4" xfId="3193"/>
    <cellStyle name="Normal 3 2 3 2 3" xfId="503"/>
    <cellStyle name="Normal 3 2 3 2 3 2" xfId="1133"/>
    <cellStyle name="Normal 3 2 3 2 3 2 2" xfId="3199"/>
    <cellStyle name="Normal 3 2 3 2 3 2 3" xfId="3198"/>
    <cellStyle name="Normal 3 2 3 2 3 3" xfId="3200"/>
    <cellStyle name="Normal 3 2 3 2 3 4" xfId="3197"/>
    <cellStyle name="Normal 3 2 3 2 4" xfId="661"/>
    <cellStyle name="Normal 3 2 3 2 4 2" xfId="1291"/>
    <cellStyle name="Normal 3 2 3 2 4 2 2" xfId="3203"/>
    <cellStyle name="Normal 3 2 3 2 4 2 3" xfId="3202"/>
    <cellStyle name="Normal 3 2 3 2 4 3" xfId="3204"/>
    <cellStyle name="Normal 3 2 3 2 4 4" xfId="3201"/>
    <cellStyle name="Normal 3 2 3 2 5" xfId="819"/>
    <cellStyle name="Normal 3 2 3 2 5 2" xfId="3206"/>
    <cellStyle name="Normal 3 2 3 2 5 3" xfId="3205"/>
    <cellStyle name="Normal 3 2 3 2 6" xfId="3207"/>
    <cellStyle name="Normal 3 2 3 2 7" xfId="3192"/>
    <cellStyle name="Normal 3 2 3 3" xfId="266"/>
    <cellStyle name="Normal 3 2 3 3 2" xfId="897"/>
    <cellStyle name="Normal 3 2 3 3 2 2" xfId="3210"/>
    <cellStyle name="Normal 3 2 3 3 2 3" xfId="3209"/>
    <cellStyle name="Normal 3 2 3 3 3" xfId="3211"/>
    <cellStyle name="Normal 3 2 3 3 4" xfId="3208"/>
    <cellStyle name="Normal 3 2 3 4" xfId="425"/>
    <cellStyle name="Normal 3 2 3 4 2" xfId="1055"/>
    <cellStyle name="Normal 3 2 3 4 2 2" xfId="3214"/>
    <cellStyle name="Normal 3 2 3 4 2 3" xfId="3213"/>
    <cellStyle name="Normal 3 2 3 4 3" xfId="3215"/>
    <cellStyle name="Normal 3 2 3 4 4" xfId="3212"/>
    <cellStyle name="Normal 3 2 3 5" xfId="583"/>
    <cellStyle name="Normal 3 2 3 5 2" xfId="1213"/>
    <cellStyle name="Normal 3 2 3 5 2 2" xfId="3218"/>
    <cellStyle name="Normal 3 2 3 5 2 3" xfId="3217"/>
    <cellStyle name="Normal 3 2 3 5 3" xfId="3219"/>
    <cellStyle name="Normal 3 2 3 5 4" xfId="3216"/>
    <cellStyle name="Normal 3 2 3 6" xfId="741"/>
    <cellStyle name="Normal 3 2 3 6 2" xfId="3221"/>
    <cellStyle name="Normal 3 2 3 6 3" xfId="3220"/>
    <cellStyle name="Normal 3 2 3 7" xfId="3222"/>
    <cellStyle name="Normal 3 2 3 8" xfId="3191"/>
    <cellStyle name="Normal 3 2 4" xfId="136"/>
    <cellStyle name="Normal 3 2 4 2" xfId="292"/>
    <cellStyle name="Normal 3 2 4 2 2" xfId="923"/>
    <cellStyle name="Normal 3 2 4 2 2 2" xfId="3226"/>
    <cellStyle name="Normal 3 2 4 2 2 3" xfId="3225"/>
    <cellStyle name="Normal 3 2 4 2 3" xfId="3227"/>
    <cellStyle name="Normal 3 2 4 2 4" xfId="3224"/>
    <cellStyle name="Normal 3 2 4 3" xfId="451"/>
    <cellStyle name="Normal 3 2 4 3 2" xfId="1081"/>
    <cellStyle name="Normal 3 2 4 3 2 2" xfId="3230"/>
    <cellStyle name="Normal 3 2 4 3 2 3" xfId="3229"/>
    <cellStyle name="Normal 3 2 4 3 3" xfId="3231"/>
    <cellStyle name="Normal 3 2 4 3 4" xfId="3228"/>
    <cellStyle name="Normal 3 2 4 4" xfId="609"/>
    <cellStyle name="Normal 3 2 4 4 2" xfId="1239"/>
    <cellStyle name="Normal 3 2 4 4 2 2" xfId="3234"/>
    <cellStyle name="Normal 3 2 4 4 2 3" xfId="3233"/>
    <cellStyle name="Normal 3 2 4 4 3" xfId="3235"/>
    <cellStyle name="Normal 3 2 4 4 4" xfId="3232"/>
    <cellStyle name="Normal 3 2 4 5" xfId="767"/>
    <cellStyle name="Normal 3 2 4 5 2" xfId="3237"/>
    <cellStyle name="Normal 3 2 4 5 3" xfId="3236"/>
    <cellStyle name="Normal 3 2 4 6" xfId="3238"/>
    <cellStyle name="Normal 3 2 4 7" xfId="3223"/>
    <cellStyle name="Normal 3 2 5" xfId="214"/>
    <cellStyle name="Normal 3 2 5 2" xfId="845"/>
    <cellStyle name="Normal 3 2 5 2 2" xfId="3241"/>
    <cellStyle name="Normal 3 2 5 2 3" xfId="3240"/>
    <cellStyle name="Normal 3 2 5 3" xfId="3242"/>
    <cellStyle name="Normal 3 2 5 4" xfId="3239"/>
    <cellStyle name="Normal 3 2 6" xfId="373"/>
    <cellStyle name="Normal 3 2 6 2" xfId="1003"/>
    <cellStyle name="Normal 3 2 6 2 2" xfId="3245"/>
    <cellStyle name="Normal 3 2 6 2 3" xfId="3244"/>
    <cellStyle name="Normal 3 2 6 3" xfId="3246"/>
    <cellStyle name="Normal 3 2 6 4" xfId="3243"/>
    <cellStyle name="Normal 3 2 7" xfId="531"/>
    <cellStyle name="Normal 3 2 7 2" xfId="1161"/>
    <cellStyle name="Normal 3 2 7 2 2" xfId="3249"/>
    <cellStyle name="Normal 3 2 7 2 3" xfId="3248"/>
    <cellStyle name="Normal 3 2 7 3" xfId="3250"/>
    <cellStyle name="Normal 3 2 7 4" xfId="3247"/>
    <cellStyle name="Normal 3 2 8" xfId="689"/>
    <cellStyle name="Normal 3 2 8 2" xfId="3252"/>
    <cellStyle name="Normal 3 2 8 3" xfId="3251"/>
    <cellStyle name="Normal 3 2 9" xfId="1295"/>
    <cellStyle name="Normal 3 2 9 2" xfId="3253"/>
    <cellStyle name="Normal 3 3" xfId="54"/>
    <cellStyle name="Normal 3 3 10" xfId="3254"/>
    <cellStyle name="Normal 3 3 2" xfId="83"/>
    <cellStyle name="Normal 3 3 2 2" xfId="161"/>
    <cellStyle name="Normal 3 3 2 2 2" xfId="317"/>
    <cellStyle name="Normal 3 3 2 2 2 2" xfId="948"/>
    <cellStyle name="Normal 3 3 2 2 2 2 2" xfId="3259"/>
    <cellStyle name="Normal 3 3 2 2 2 2 3" xfId="3258"/>
    <cellStyle name="Normal 3 3 2 2 2 3" xfId="3260"/>
    <cellStyle name="Normal 3 3 2 2 2 4" xfId="3257"/>
    <cellStyle name="Normal 3 3 2 2 3" xfId="476"/>
    <cellStyle name="Normal 3 3 2 2 3 2" xfId="1106"/>
    <cellStyle name="Normal 3 3 2 2 3 2 2" xfId="3263"/>
    <cellStyle name="Normal 3 3 2 2 3 2 3" xfId="3262"/>
    <cellStyle name="Normal 3 3 2 2 3 3" xfId="3264"/>
    <cellStyle name="Normal 3 3 2 2 3 4" xfId="3261"/>
    <cellStyle name="Normal 3 3 2 2 4" xfId="634"/>
    <cellStyle name="Normal 3 3 2 2 4 2" xfId="1264"/>
    <cellStyle name="Normal 3 3 2 2 4 2 2" xfId="3267"/>
    <cellStyle name="Normal 3 3 2 2 4 2 3" xfId="3266"/>
    <cellStyle name="Normal 3 3 2 2 4 3" xfId="3268"/>
    <cellStyle name="Normal 3 3 2 2 4 4" xfId="3265"/>
    <cellStyle name="Normal 3 3 2 2 5" xfId="792"/>
    <cellStyle name="Normal 3 3 2 2 5 2" xfId="3270"/>
    <cellStyle name="Normal 3 3 2 2 5 3" xfId="3269"/>
    <cellStyle name="Normal 3 3 2 2 6" xfId="3271"/>
    <cellStyle name="Normal 3 3 2 2 7" xfId="3256"/>
    <cellStyle name="Normal 3 3 2 3" xfId="239"/>
    <cellStyle name="Normal 3 3 2 3 2" xfId="870"/>
    <cellStyle name="Normal 3 3 2 3 2 2" xfId="3274"/>
    <cellStyle name="Normal 3 3 2 3 2 3" xfId="3273"/>
    <cellStyle name="Normal 3 3 2 3 3" xfId="3275"/>
    <cellStyle name="Normal 3 3 2 3 4" xfId="3272"/>
    <cellStyle name="Normal 3 3 2 4" xfId="398"/>
    <cellStyle name="Normal 3 3 2 4 2" xfId="1028"/>
    <cellStyle name="Normal 3 3 2 4 2 2" xfId="3278"/>
    <cellStyle name="Normal 3 3 2 4 2 3" xfId="3277"/>
    <cellStyle name="Normal 3 3 2 4 3" xfId="3279"/>
    <cellStyle name="Normal 3 3 2 4 4" xfId="3276"/>
    <cellStyle name="Normal 3 3 2 5" xfId="556"/>
    <cellStyle name="Normal 3 3 2 5 2" xfId="1186"/>
    <cellStyle name="Normal 3 3 2 5 2 2" xfId="3282"/>
    <cellStyle name="Normal 3 3 2 5 2 3" xfId="3281"/>
    <cellStyle name="Normal 3 3 2 5 3" xfId="3283"/>
    <cellStyle name="Normal 3 3 2 5 4" xfId="3280"/>
    <cellStyle name="Normal 3 3 2 6" xfId="714"/>
    <cellStyle name="Normal 3 3 2 6 2" xfId="3285"/>
    <cellStyle name="Normal 3 3 2 6 3" xfId="3284"/>
    <cellStyle name="Normal 3 3 2 7" xfId="3286"/>
    <cellStyle name="Normal 3 3 2 8" xfId="3255"/>
    <cellStyle name="Normal 3 3 3" xfId="109"/>
    <cellStyle name="Normal 3 3 3 2" xfId="187"/>
    <cellStyle name="Normal 3 3 3 2 2" xfId="343"/>
    <cellStyle name="Normal 3 3 3 2 2 2" xfId="974"/>
    <cellStyle name="Normal 3 3 3 2 2 2 2" xfId="3291"/>
    <cellStyle name="Normal 3 3 3 2 2 2 3" xfId="3290"/>
    <cellStyle name="Normal 3 3 3 2 2 3" xfId="3292"/>
    <cellStyle name="Normal 3 3 3 2 2 4" xfId="3289"/>
    <cellStyle name="Normal 3 3 3 2 3" xfId="502"/>
    <cellStyle name="Normal 3 3 3 2 3 2" xfId="1132"/>
    <cellStyle name="Normal 3 3 3 2 3 2 2" xfId="3295"/>
    <cellStyle name="Normal 3 3 3 2 3 2 3" xfId="3294"/>
    <cellStyle name="Normal 3 3 3 2 3 3" xfId="3296"/>
    <cellStyle name="Normal 3 3 3 2 3 4" xfId="3293"/>
    <cellStyle name="Normal 3 3 3 2 4" xfId="660"/>
    <cellStyle name="Normal 3 3 3 2 4 2" xfId="1290"/>
    <cellStyle name="Normal 3 3 3 2 4 2 2" xfId="3299"/>
    <cellStyle name="Normal 3 3 3 2 4 2 3" xfId="3298"/>
    <cellStyle name="Normal 3 3 3 2 4 3" xfId="3300"/>
    <cellStyle name="Normal 3 3 3 2 4 4" xfId="3297"/>
    <cellStyle name="Normal 3 3 3 2 5" xfId="818"/>
    <cellStyle name="Normal 3 3 3 2 5 2" xfId="3302"/>
    <cellStyle name="Normal 3 3 3 2 5 3" xfId="3301"/>
    <cellStyle name="Normal 3 3 3 2 6" xfId="3303"/>
    <cellStyle name="Normal 3 3 3 2 7" xfId="3288"/>
    <cellStyle name="Normal 3 3 3 3" xfId="265"/>
    <cellStyle name="Normal 3 3 3 3 2" xfId="896"/>
    <cellStyle name="Normal 3 3 3 3 2 2" xfId="3306"/>
    <cellStyle name="Normal 3 3 3 3 2 3" xfId="3305"/>
    <cellStyle name="Normal 3 3 3 3 3" xfId="3307"/>
    <cellStyle name="Normal 3 3 3 3 4" xfId="3304"/>
    <cellStyle name="Normal 3 3 3 4" xfId="424"/>
    <cellStyle name="Normal 3 3 3 4 2" xfId="1054"/>
    <cellStyle name="Normal 3 3 3 4 2 2" xfId="3310"/>
    <cellStyle name="Normal 3 3 3 4 2 3" xfId="3309"/>
    <cellStyle name="Normal 3 3 3 4 3" xfId="3311"/>
    <cellStyle name="Normal 3 3 3 4 4" xfId="3308"/>
    <cellStyle name="Normal 3 3 3 5" xfId="582"/>
    <cellStyle name="Normal 3 3 3 5 2" xfId="1212"/>
    <cellStyle name="Normal 3 3 3 5 2 2" xfId="3314"/>
    <cellStyle name="Normal 3 3 3 5 2 3" xfId="3313"/>
    <cellStyle name="Normal 3 3 3 5 3" xfId="3315"/>
    <cellStyle name="Normal 3 3 3 5 4" xfId="3312"/>
    <cellStyle name="Normal 3 3 3 6" xfId="740"/>
    <cellStyle name="Normal 3 3 3 6 2" xfId="3317"/>
    <cellStyle name="Normal 3 3 3 6 3" xfId="3316"/>
    <cellStyle name="Normal 3 3 3 7" xfId="3318"/>
    <cellStyle name="Normal 3 3 3 8" xfId="3287"/>
    <cellStyle name="Normal 3 3 4" xfId="135"/>
    <cellStyle name="Normal 3 3 4 2" xfId="291"/>
    <cellStyle name="Normal 3 3 4 2 2" xfId="922"/>
    <cellStyle name="Normal 3 3 4 2 2 2" xfId="3322"/>
    <cellStyle name="Normal 3 3 4 2 2 3" xfId="3321"/>
    <cellStyle name="Normal 3 3 4 2 3" xfId="3323"/>
    <cellStyle name="Normal 3 3 4 2 4" xfId="3320"/>
    <cellStyle name="Normal 3 3 4 3" xfId="450"/>
    <cellStyle name="Normal 3 3 4 3 2" xfId="1080"/>
    <cellStyle name="Normal 3 3 4 3 2 2" xfId="3326"/>
    <cellStyle name="Normal 3 3 4 3 2 3" xfId="3325"/>
    <cellStyle name="Normal 3 3 4 3 3" xfId="3327"/>
    <cellStyle name="Normal 3 3 4 3 4" xfId="3324"/>
    <cellStyle name="Normal 3 3 4 4" xfId="608"/>
    <cellStyle name="Normal 3 3 4 4 2" xfId="1238"/>
    <cellStyle name="Normal 3 3 4 4 2 2" xfId="3330"/>
    <cellStyle name="Normal 3 3 4 4 2 3" xfId="3329"/>
    <cellStyle name="Normal 3 3 4 4 3" xfId="3331"/>
    <cellStyle name="Normal 3 3 4 4 4" xfId="3328"/>
    <cellStyle name="Normal 3 3 4 5" xfId="766"/>
    <cellStyle name="Normal 3 3 4 5 2" xfId="3333"/>
    <cellStyle name="Normal 3 3 4 5 3" xfId="3332"/>
    <cellStyle name="Normal 3 3 4 6" xfId="3334"/>
    <cellStyle name="Normal 3 3 4 7" xfId="3319"/>
    <cellStyle name="Normal 3 3 5" xfId="213"/>
    <cellStyle name="Normal 3 3 5 2" xfId="844"/>
    <cellStyle name="Normal 3 3 5 2 2" xfId="3337"/>
    <cellStyle name="Normal 3 3 5 2 3" xfId="3336"/>
    <cellStyle name="Normal 3 3 5 3" xfId="3338"/>
    <cellStyle name="Normal 3 3 5 4" xfId="3335"/>
    <cellStyle name="Normal 3 3 6" xfId="372"/>
    <cellStyle name="Normal 3 3 6 2" xfId="1002"/>
    <cellStyle name="Normal 3 3 6 2 2" xfId="3341"/>
    <cellStyle name="Normal 3 3 6 2 3" xfId="3340"/>
    <cellStyle name="Normal 3 3 6 3" xfId="3342"/>
    <cellStyle name="Normal 3 3 6 4" xfId="3339"/>
    <cellStyle name="Normal 3 3 7" xfId="530"/>
    <cellStyle name="Normal 3 3 7 2" xfId="1160"/>
    <cellStyle name="Normal 3 3 7 2 2" xfId="3345"/>
    <cellStyle name="Normal 3 3 7 2 3" xfId="3344"/>
    <cellStyle name="Normal 3 3 7 3" xfId="3346"/>
    <cellStyle name="Normal 3 3 7 4" xfId="3343"/>
    <cellStyle name="Normal 3 3 8" xfId="688"/>
    <cellStyle name="Normal 3 3 8 2" xfId="3348"/>
    <cellStyle name="Normal 3 3 8 3" xfId="3347"/>
    <cellStyle name="Normal 3 3 9" xfId="3349"/>
    <cellStyle name="Normal 3 4" xfId="64"/>
    <cellStyle name="Normal 3 4 2" xfId="142"/>
    <cellStyle name="Normal 3 4 2 2" xfId="298"/>
    <cellStyle name="Normal 3 4 2 2 2" xfId="929"/>
    <cellStyle name="Normal 3 4 2 2 2 2" xfId="3354"/>
    <cellStyle name="Normal 3 4 2 2 2 3" xfId="3353"/>
    <cellStyle name="Normal 3 4 2 2 3" xfId="3355"/>
    <cellStyle name="Normal 3 4 2 2 4" xfId="3352"/>
    <cellStyle name="Normal 3 4 2 3" xfId="457"/>
    <cellStyle name="Normal 3 4 2 3 2" xfId="1087"/>
    <cellStyle name="Normal 3 4 2 3 2 2" xfId="3358"/>
    <cellStyle name="Normal 3 4 2 3 2 3" xfId="3357"/>
    <cellStyle name="Normal 3 4 2 3 3" xfId="3359"/>
    <cellStyle name="Normal 3 4 2 3 4" xfId="3356"/>
    <cellStyle name="Normal 3 4 2 4" xfId="615"/>
    <cellStyle name="Normal 3 4 2 4 2" xfId="1245"/>
    <cellStyle name="Normal 3 4 2 4 2 2" xfId="3362"/>
    <cellStyle name="Normal 3 4 2 4 2 3" xfId="3361"/>
    <cellStyle name="Normal 3 4 2 4 3" xfId="3363"/>
    <cellStyle name="Normal 3 4 2 4 4" xfId="3360"/>
    <cellStyle name="Normal 3 4 2 5" xfId="773"/>
    <cellStyle name="Normal 3 4 2 5 2" xfId="3365"/>
    <cellStyle name="Normal 3 4 2 5 3" xfId="3364"/>
    <cellStyle name="Normal 3 4 2 6" xfId="3366"/>
    <cellStyle name="Normal 3 4 2 7" xfId="3351"/>
    <cellStyle name="Normal 3 4 3" xfId="220"/>
    <cellStyle name="Normal 3 4 3 2" xfId="851"/>
    <cellStyle name="Normal 3 4 3 2 2" xfId="3369"/>
    <cellStyle name="Normal 3 4 3 2 3" xfId="3368"/>
    <cellStyle name="Normal 3 4 3 3" xfId="3370"/>
    <cellStyle name="Normal 3 4 3 4" xfId="3367"/>
    <cellStyle name="Normal 3 4 4" xfId="379"/>
    <cellStyle name="Normal 3 4 4 2" xfId="1009"/>
    <cellStyle name="Normal 3 4 4 2 2" xfId="3373"/>
    <cellStyle name="Normal 3 4 4 2 3" xfId="3372"/>
    <cellStyle name="Normal 3 4 4 3" xfId="3374"/>
    <cellStyle name="Normal 3 4 4 4" xfId="3371"/>
    <cellStyle name="Normal 3 4 5" xfId="537"/>
    <cellStyle name="Normal 3 4 5 2" xfId="1167"/>
    <cellStyle name="Normal 3 4 5 2 2" xfId="3377"/>
    <cellStyle name="Normal 3 4 5 2 3" xfId="3376"/>
    <cellStyle name="Normal 3 4 5 3" xfId="3378"/>
    <cellStyle name="Normal 3 4 5 4" xfId="3375"/>
    <cellStyle name="Normal 3 4 6" xfId="695"/>
    <cellStyle name="Normal 3 4 6 2" xfId="3380"/>
    <cellStyle name="Normal 3 4 6 3" xfId="3379"/>
    <cellStyle name="Normal 3 4 7" xfId="3381"/>
    <cellStyle name="Normal 3 4 8" xfId="3350"/>
    <cellStyle name="Normal 3 5" xfId="90"/>
    <cellStyle name="Normal 3 5 2" xfId="168"/>
    <cellStyle name="Normal 3 5 2 2" xfId="324"/>
    <cellStyle name="Normal 3 5 2 2 2" xfId="955"/>
    <cellStyle name="Normal 3 5 2 2 2 2" xfId="3386"/>
    <cellStyle name="Normal 3 5 2 2 2 3" xfId="3385"/>
    <cellStyle name="Normal 3 5 2 2 3" xfId="3387"/>
    <cellStyle name="Normal 3 5 2 2 4" xfId="3384"/>
    <cellStyle name="Normal 3 5 2 3" xfId="483"/>
    <cellStyle name="Normal 3 5 2 3 2" xfId="1113"/>
    <cellStyle name="Normal 3 5 2 3 2 2" xfId="3390"/>
    <cellStyle name="Normal 3 5 2 3 2 3" xfId="3389"/>
    <cellStyle name="Normal 3 5 2 3 3" xfId="3391"/>
    <cellStyle name="Normal 3 5 2 3 4" xfId="3388"/>
    <cellStyle name="Normal 3 5 2 4" xfId="641"/>
    <cellStyle name="Normal 3 5 2 4 2" xfId="1271"/>
    <cellStyle name="Normal 3 5 2 4 2 2" xfId="3394"/>
    <cellStyle name="Normal 3 5 2 4 2 3" xfId="3393"/>
    <cellStyle name="Normal 3 5 2 4 3" xfId="3395"/>
    <cellStyle name="Normal 3 5 2 4 4" xfId="3392"/>
    <cellStyle name="Normal 3 5 2 5" xfId="799"/>
    <cellStyle name="Normal 3 5 2 5 2" xfId="3397"/>
    <cellStyle name="Normal 3 5 2 5 3" xfId="3396"/>
    <cellStyle name="Normal 3 5 2 6" xfId="3398"/>
    <cellStyle name="Normal 3 5 2 7" xfId="3383"/>
    <cellStyle name="Normal 3 5 3" xfId="246"/>
    <cellStyle name="Normal 3 5 3 2" xfId="877"/>
    <cellStyle name="Normal 3 5 3 2 2" xfId="3401"/>
    <cellStyle name="Normal 3 5 3 2 3" xfId="3400"/>
    <cellStyle name="Normal 3 5 3 3" xfId="3402"/>
    <cellStyle name="Normal 3 5 3 4" xfId="3399"/>
    <cellStyle name="Normal 3 5 4" xfId="405"/>
    <cellStyle name="Normal 3 5 4 2" xfId="1035"/>
    <cellStyle name="Normal 3 5 4 2 2" xfId="3405"/>
    <cellStyle name="Normal 3 5 4 2 3" xfId="3404"/>
    <cellStyle name="Normal 3 5 4 3" xfId="3406"/>
    <cellStyle name="Normal 3 5 4 4" xfId="3403"/>
    <cellStyle name="Normal 3 5 5" xfId="563"/>
    <cellStyle name="Normal 3 5 5 2" xfId="1193"/>
    <cellStyle name="Normal 3 5 5 2 2" xfId="3409"/>
    <cellStyle name="Normal 3 5 5 2 3" xfId="3408"/>
    <cellStyle name="Normal 3 5 5 3" xfId="3410"/>
    <cellStyle name="Normal 3 5 5 4" xfId="3407"/>
    <cellStyle name="Normal 3 5 6" xfId="721"/>
    <cellStyle name="Normal 3 5 6 2" xfId="3412"/>
    <cellStyle name="Normal 3 5 6 3" xfId="3411"/>
    <cellStyle name="Normal 3 5 7" xfId="3413"/>
    <cellStyle name="Normal 3 5 8" xfId="3382"/>
    <cellStyle name="Normal 3 6" xfId="116"/>
    <cellStyle name="Normal 3 6 2" xfId="272"/>
    <cellStyle name="Normal 3 6 2 2" xfId="903"/>
    <cellStyle name="Normal 3 6 2 2 2" xfId="3417"/>
    <cellStyle name="Normal 3 6 2 2 3" xfId="3416"/>
    <cellStyle name="Normal 3 6 2 3" xfId="3418"/>
    <cellStyle name="Normal 3 6 2 4" xfId="3415"/>
    <cellStyle name="Normal 3 6 3" xfId="431"/>
    <cellStyle name="Normal 3 6 3 2" xfId="1061"/>
    <cellStyle name="Normal 3 6 3 2 2" xfId="3421"/>
    <cellStyle name="Normal 3 6 3 2 3" xfId="3420"/>
    <cellStyle name="Normal 3 6 3 3" xfId="3422"/>
    <cellStyle name="Normal 3 6 3 4" xfId="3419"/>
    <cellStyle name="Normal 3 6 4" xfId="589"/>
    <cellStyle name="Normal 3 6 4 2" xfId="1219"/>
    <cellStyle name="Normal 3 6 4 2 2" xfId="3425"/>
    <cellStyle name="Normal 3 6 4 2 3" xfId="3424"/>
    <cellStyle name="Normal 3 6 4 3" xfId="3426"/>
    <cellStyle name="Normal 3 6 4 4" xfId="3423"/>
    <cellStyle name="Normal 3 6 5" xfId="747"/>
    <cellStyle name="Normal 3 6 5 2" xfId="3428"/>
    <cellStyle name="Normal 3 6 5 3" xfId="3427"/>
    <cellStyle name="Normal 3 6 6" xfId="3429"/>
    <cellStyle name="Normal 3 6 7" xfId="3414"/>
    <cellStyle name="Normal 3 7" xfId="194"/>
    <cellStyle name="Normal 3 7 2" xfId="825"/>
    <cellStyle name="Normal 3 7 2 2" xfId="3432"/>
    <cellStyle name="Normal 3 7 2 3" xfId="3431"/>
    <cellStyle name="Normal 3 7 3" xfId="3433"/>
    <cellStyle name="Normal 3 7 4" xfId="3430"/>
    <cellStyle name="Normal 3 8" xfId="353"/>
    <cellStyle name="Normal 3 8 2" xfId="983"/>
    <cellStyle name="Normal 3 8 2 2" xfId="3436"/>
    <cellStyle name="Normal 3 8 2 3" xfId="3435"/>
    <cellStyle name="Normal 3 8 3" xfId="3437"/>
    <cellStyle name="Normal 3 8 4" xfId="3434"/>
    <cellStyle name="Normal 3 9" xfId="511"/>
    <cellStyle name="Normal 3 9 2" xfId="1141"/>
    <cellStyle name="Normal 3 9 2 2" xfId="3440"/>
    <cellStyle name="Normal 3 9 2 3" xfId="3439"/>
    <cellStyle name="Normal 3 9 3" xfId="3441"/>
    <cellStyle name="Normal 3 9 4" xfId="3438"/>
    <cellStyle name="Normal 4" xfId="22"/>
    <cellStyle name="Normal 4 10" xfId="3443"/>
    <cellStyle name="Normal 4 11" xfId="3442"/>
    <cellStyle name="Normal 4 2" xfId="56"/>
    <cellStyle name="Normal 4 2 10" xfId="3444"/>
    <cellStyle name="Normal 4 2 2" xfId="85"/>
    <cellStyle name="Normal 4 2 2 2" xfId="163"/>
    <cellStyle name="Normal 4 2 2 2 2" xfId="319"/>
    <cellStyle name="Normal 4 2 2 2 2 2" xfId="950"/>
    <cellStyle name="Normal 4 2 2 2 2 2 2" xfId="3449"/>
    <cellStyle name="Normal 4 2 2 2 2 2 3" xfId="3448"/>
    <cellStyle name="Normal 4 2 2 2 2 3" xfId="3450"/>
    <cellStyle name="Normal 4 2 2 2 2 4" xfId="3447"/>
    <cellStyle name="Normal 4 2 2 2 3" xfId="478"/>
    <cellStyle name="Normal 4 2 2 2 3 2" xfId="1108"/>
    <cellStyle name="Normal 4 2 2 2 3 2 2" xfId="3453"/>
    <cellStyle name="Normal 4 2 2 2 3 2 3" xfId="3452"/>
    <cellStyle name="Normal 4 2 2 2 3 3" xfId="3454"/>
    <cellStyle name="Normal 4 2 2 2 3 4" xfId="3451"/>
    <cellStyle name="Normal 4 2 2 2 4" xfId="636"/>
    <cellStyle name="Normal 4 2 2 2 4 2" xfId="1266"/>
    <cellStyle name="Normal 4 2 2 2 4 2 2" xfId="3457"/>
    <cellStyle name="Normal 4 2 2 2 4 2 3" xfId="3456"/>
    <cellStyle name="Normal 4 2 2 2 4 3" xfId="3458"/>
    <cellStyle name="Normal 4 2 2 2 4 4" xfId="3455"/>
    <cellStyle name="Normal 4 2 2 2 5" xfId="794"/>
    <cellStyle name="Normal 4 2 2 2 5 2" xfId="3460"/>
    <cellStyle name="Normal 4 2 2 2 5 3" xfId="3459"/>
    <cellStyle name="Normal 4 2 2 2 6" xfId="3461"/>
    <cellStyle name="Normal 4 2 2 2 7" xfId="3446"/>
    <cellStyle name="Normal 4 2 2 3" xfId="241"/>
    <cellStyle name="Normal 4 2 2 3 2" xfId="872"/>
    <cellStyle name="Normal 4 2 2 3 2 2" xfId="3464"/>
    <cellStyle name="Normal 4 2 2 3 2 3" xfId="3463"/>
    <cellStyle name="Normal 4 2 2 3 3" xfId="3465"/>
    <cellStyle name="Normal 4 2 2 3 4" xfId="3462"/>
    <cellStyle name="Normal 4 2 2 4" xfId="400"/>
    <cellStyle name="Normal 4 2 2 4 2" xfId="1030"/>
    <cellStyle name="Normal 4 2 2 4 2 2" xfId="3468"/>
    <cellStyle name="Normal 4 2 2 4 2 3" xfId="3467"/>
    <cellStyle name="Normal 4 2 2 4 3" xfId="3469"/>
    <cellStyle name="Normal 4 2 2 4 4" xfId="3466"/>
    <cellStyle name="Normal 4 2 2 5" xfId="558"/>
    <cellStyle name="Normal 4 2 2 5 2" xfId="1188"/>
    <cellStyle name="Normal 4 2 2 5 2 2" xfId="3472"/>
    <cellStyle name="Normal 4 2 2 5 2 3" xfId="3471"/>
    <cellStyle name="Normal 4 2 2 5 3" xfId="3473"/>
    <cellStyle name="Normal 4 2 2 5 4" xfId="3470"/>
    <cellStyle name="Normal 4 2 2 6" xfId="716"/>
    <cellStyle name="Normal 4 2 2 6 2" xfId="3475"/>
    <cellStyle name="Normal 4 2 2 6 3" xfId="3474"/>
    <cellStyle name="Normal 4 2 2 7" xfId="3476"/>
    <cellStyle name="Normal 4 2 2 8" xfId="3445"/>
    <cellStyle name="Normal 4 2 3" xfId="111"/>
    <cellStyle name="Normal 4 2 3 2" xfId="189"/>
    <cellStyle name="Normal 4 2 3 2 2" xfId="345"/>
    <cellStyle name="Normal 4 2 3 2 2 2" xfId="976"/>
    <cellStyle name="Normal 4 2 3 2 2 2 2" xfId="3481"/>
    <cellStyle name="Normal 4 2 3 2 2 2 3" xfId="3480"/>
    <cellStyle name="Normal 4 2 3 2 2 3" xfId="3482"/>
    <cellStyle name="Normal 4 2 3 2 2 4" xfId="3479"/>
    <cellStyle name="Normal 4 2 3 2 3" xfId="504"/>
    <cellStyle name="Normal 4 2 3 2 3 2" xfId="1134"/>
    <cellStyle name="Normal 4 2 3 2 3 2 2" xfId="3485"/>
    <cellStyle name="Normal 4 2 3 2 3 2 3" xfId="3484"/>
    <cellStyle name="Normal 4 2 3 2 3 3" xfId="3486"/>
    <cellStyle name="Normal 4 2 3 2 3 4" xfId="3483"/>
    <cellStyle name="Normal 4 2 3 2 4" xfId="662"/>
    <cellStyle name="Normal 4 2 3 2 4 2" xfId="1292"/>
    <cellStyle name="Normal 4 2 3 2 4 2 2" xfId="3489"/>
    <cellStyle name="Normal 4 2 3 2 4 2 3" xfId="3488"/>
    <cellStyle name="Normal 4 2 3 2 4 3" xfId="3490"/>
    <cellStyle name="Normal 4 2 3 2 4 4" xfId="3487"/>
    <cellStyle name="Normal 4 2 3 2 5" xfId="820"/>
    <cellStyle name="Normal 4 2 3 2 5 2" xfId="3492"/>
    <cellStyle name="Normal 4 2 3 2 5 3" xfId="3491"/>
    <cellStyle name="Normal 4 2 3 2 6" xfId="3493"/>
    <cellStyle name="Normal 4 2 3 2 7" xfId="3478"/>
    <cellStyle name="Normal 4 2 3 3" xfId="267"/>
    <cellStyle name="Normal 4 2 3 3 2" xfId="898"/>
    <cellStyle name="Normal 4 2 3 3 2 2" xfId="3496"/>
    <cellStyle name="Normal 4 2 3 3 2 3" xfId="3495"/>
    <cellStyle name="Normal 4 2 3 3 3" xfId="3497"/>
    <cellStyle name="Normal 4 2 3 3 4" xfId="3494"/>
    <cellStyle name="Normal 4 2 3 4" xfId="426"/>
    <cellStyle name="Normal 4 2 3 4 2" xfId="1056"/>
    <cellStyle name="Normal 4 2 3 4 2 2" xfId="3500"/>
    <cellStyle name="Normal 4 2 3 4 2 3" xfId="3499"/>
    <cellStyle name="Normal 4 2 3 4 3" xfId="3501"/>
    <cellStyle name="Normal 4 2 3 4 4" xfId="3498"/>
    <cellStyle name="Normal 4 2 3 5" xfId="584"/>
    <cellStyle name="Normal 4 2 3 5 2" xfId="1214"/>
    <cellStyle name="Normal 4 2 3 5 2 2" xfId="3504"/>
    <cellStyle name="Normal 4 2 3 5 2 3" xfId="3503"/>
    <cellStyle name="Normal 4 2 3 5 3" xfId="3505"/>
    <cellStyle name="Normal 4 2 3 5 4" xfId="3502"/>
    <cellStyle name="Normal 4 2 3 6" xfId="742"/>
    <cellStyle name="Normal 4 2 3 6 2" xfId="3507"/>
    <cellStyle name="Normal 4 2 3 6 3" xfId="3506"/>
    <cellStyle name="Normal 4 2 3 7" xfId="3508"/>
    <cellStyle name="Normal 4 2 3 8" xfId="3477"/>
    <cellStyle name="Normal 4 2 4" xfId="137"/>
    <cellStyle name="Normal 4 2 4 2" xfId="293"/>
    <cellStyle name="Normal 4 2 4 2 2" xfId="924"/>
    <cellStyle name="Normal 4 2 4 2 2 2" xfId="3512"/>
    <cellStyle name="Normal 4 2 4 2 2 3" xfId="3511"/>
    <cellStyle name="Normal 4 2 4 2 3" xfId="3513"/>
    <cellStyle name="Normal 4 2 4 2 4" xfId="3510"/>
    <cellStyle name="Normal 4 2 4 3" xfId="452"/>
    <cellStyle name="Normal 4 2 4 3 2" xfId="1082"/>
    <cellStyle name="Normal 4 2 4 3 2 2" xfId="3516"/>
    <cellStyle name="Normal 4 2 4 3 2 3" xfId="3515"/>
    <cellStyle name="Normal 4 2 4 3 3" xfId="3517"/>
    <cellStyle name="Normal 4 2 4 3 4" xfId="3514"/>
    <cellStyle name="Normal 4 2 4 4" xfId="610"/>
    <cellStyle name="Normal 4 2 4 4 2" xfId="1240"/>
    <cellStyle name="Normal 4 2 4 4 2 2" xfId="3520"/>
    <cellStyle name="Normal 4 2 4 4 2 3" xfId="3519"/>
    <cellStyle name="Normal 4 2 4 4 3" xfId="3521"/>
    <cellStyle name="Normal 4 2 4 4 4" xfId="3518"/>
    <cellStyle name="Normal 4 2 4 5" xfId="768"/>
    <cellStyle name="Normal 4 2 4 5 2" xfId="3523"/>
    <cellStyle name="Normal 4 2 4 5 3" xfId="3522"/>
    <cellStyle name="Normal 4 2 4 6" xfId="3524"/>
    <cellStyle name="Normal 4 2 4 7" xfId="3509"/>
    <cellStyle name="Normal 4 2 5" xfId="215"/>
    <cellStyle name="Normal 4 2 5 2" xfId="846"/>
    <cellStyle name="Normal 4 2 5 2 2" xfId="3527"/>
    <cellStyle name="Normal 4 2 5 2 3" xfId="3526"/>
    <cellStyle name="Normal 4 2 5 3" xfId="3528"/>
    <cellStyle name="Normal 4 2 5 4" xfId="3525"/>
    <cellStyle name="Normal 4 2 6" xfId="374"/>
    <cellStyle name="Normal 4 2 6 2" xfId="1004"/>
    <cellStyle name="Normal 4 2 6 2 2" xfId="3531"/>
    <cellStyle name="Normal 4 2 6 2 3" xfId="3530"/>
    <cellStyle name="Normal 4 2 6 3" xfId="3532"/>
    <cellStyle name="Normal 4 2 6 4" xfId="3529"/>
    <cellStyle name="Normal 4 2 7" xfId="532"/>
    <cellStyle name="Normal 4 2 7 2" xfId="1162"/>
    <cellStyle name="Normal 4 2 7 2 2" xfId="3535"/>
    <cellStyle name="Normal 4 2 7 2 3" xfId="3534"/>
    <cellStyle name="Normal 4 2 7 3" xfId="3536"/>
    <cellStyle name="Normal 4 2 7 4" xfId="3533"/>
    <cellStyle name="Normal 4 2 8" xfId="690"/>
    <cellStyle name="Normal 4 2 8 2" xfId="3538"/>
    <cellStyle name="Normal 4 2 8 3" xfId="3537"/>
    <cellStyle name="Normal 4 2 9" xfId="3539"/>
    <cellStyle name="Normal 4 3" xfId="66"/>
    <cellStyle name="Normal 4 3 2" xfId="144"/>
    <cellStyle name="Normal 4 3 2 2" xfId="300"/>
    <cellStyle name="Normal 4 3 2 2 2" xfId="931"/>
    <cellStyle name="Normal 4 3 2 2 2 2" xfId="3544"/>
    <cellStyle name="Normal 4 3 2 2 2 3" xfId="3543"/>
    <cellStyle name="Normal 4 3 2 2 3" xfId="3545"/>
    <cellStyle name="Normal 4 3 2 2 4" xfId="3542"/>
    <cellStyle name="Normal 4 3 2 3" xfId="459"/>
    <cellStyle name="Normal 4 3 2 3 2" xfId="1089"/>
    <cellStyle name="Normal 4 3 2 3 2 2" xfId="3548"/>
    <cellStyle name="Normal 4 3 2 3 2 3" xfId="3547"/>
    <cellStyle name="Normal 4 3 2 3 3" xfId="3549"/>
    <cellStyle name="Normal 4 3 2 3 4" xfId="3546"/>
    <cellStyle name="Normal 4 3 2 4" xfId="617"/>
    <cellStyle name="Normal 4 3 2 4 2" xfId="1247"/>
    <cellStyle name="Normal 4 3 2 4 2 2" xfId="3552"/>
    <cellStyle name="Normal 4 3 2 4 2 3" xfId="3551"/>
    <cellStyle name="Normal 4 3 2 4 3" xfId="3553"/>
    <cellStyle name="Normal 4 3 2 4 4" xfId="3550"/>
    <cellStyle name="Normal 4 3 2 5" xfId="775"/>
    <cellStyle name="Normal 4 3 2 5 2" xfId="3555"/>
    <cellStyle name="Normal 4 3 2 5 3" xfId="3554"/>
    <cellStyle name="Normal 4 3 2 6" xfId="3556"/>
    <cellStyle name="Normal 4 3 2 7" xfId="3541"/>
    <cellStyle name="Normal 4 3 3" xfId="222"/>
    <cellStyle name="Normal 4 3 3 2" xfId="853"/>
    <cellStyle name="Normal 4 3 3 2 2" xfId="3559"/>
    <cellStyle name="Normal 4 3 3 2 3" xfId="3558"/>
    <cellStyle name="Normal 4 3 3 3" xfId="3560"/>
    <cellStyle name="Normal 4 3 3 4" xfId="3557"/>
    <cellStyle name="Normal 4 3 4" xfId="381"/>
    <cellStyle name="Normal 4 3 4 2" xfId="1011"/>
    <cellStyle name="Normal 4 3 4 2 2" xfId="3563"/>
    <cellStyle name="Normal 4 3 4 2 3" xfId="3562"/>
    <cellStyle name="Normal 4 3 4 3" xfId="3564"/>
    <cellStyle name="Normal 4 3 4 4" xfId="3561"/>
    <cellStyle name="Normal 4 3 5" xfId="539"/>
    <cellStyle name="Normal 4 3 5 2" xfId="1169"/>
    <cellStyle name="Normal 4 3 5 2 2" xfId="3567"/>
    <cellStyle name="Normal 4 3 5 2 3" xfId="3566"/>
    <cellStyle name="Normal 4 3 5 3" xfId="3568"/>
    <cellStyle name="Normal 4 3 5 4" xfId="3565"/>
    <cellStyle name="Normal 4 3 6" xfId="697"/>
    <cellStyle name="Normal 4 3 6 2" xfId="3570"/>
    <cellStyle name="Normal 4 3 6 3" xfId="3569"/>
    <cellStyle name="Normal 4 3 7" xfId="3571"/>
    <cellStyle name="Normal 4 3 8" xfId="3540"/>
    <cellStyle name="Normal 4 4" xfId="92"/>
    <cellStyle name="Normal 4 4 2" xfId="170"/>
    <cellStyle name="Normal 4 4 2 2" xfId="326"/>
    <cellStyle name="Normal 4 4 2 2 2" xfId="957"/>
    <cellStyle name="Normal 4 4 2 2 2 2" xfId="3576"/>
    <cellStyle name="Normal 4 4 2 2 2 3" xfId="3575"/>
    <cellStyle name="Normal 4 4 2 2 3" xfId="3577"/>
    <cellStyle name="Normal 4 4 2 2 4" xfId="3574"/>
    <cellStyle name="Normal 4 4 2 3" xfId="485"/>
    <cellStyle name="Normal 4 4 2 3 2" xfId="1115"/>
    <cellStyle name="Normal 4 4 2 3 2 2" xfId="3580"/>
    <cellStyle name="Normal 4 4 2 3 2 3" xfId="3579"/>
    <cellStyle name="Normal 4 4 2 3 3" xfId="3581"/>
    <cellStyle name="Normal 4 4 2 3 4" xfId="3578"/>
    <cellStyle name="Normal 4 4 2 4" xfId="643"/>
    <cellStyle name="Normal 4 4 2 4 2" xfId="1273"/>
    <cellStyle name="Normal 4 4 2 4 2 2" xfId="3584"/>
    <cellStyle name="Normal 4 4 2 4 2 3" xfId="3583"/>
    <cellStyle name="Normal 4 4 2 4 3" xfId="3585"/>
    <cellStyle name="Normal 4 4 2 4 4" xfId="3582"/>
    <cellStyle name="Normal 4 4 2 5" xfId="801"/>
    <cellStyle name="Normal 4 4 2 5 2" xfId="3587"/>
    <cellStyle name="Normal 4 4 2 5 3" xfId="3586"/>
    <cellStyle name="Normal 4 4 2 6" xfId="3588"/>
    <cellStyle name="Normal 4 4 2 7" xfId="3573"/>
    <cellStyle name="Normal 4 4 3" xfId="248"/>
    <cellStyle name="Normal 4 4 3 2" xfId="879"/>
    <cellStyle name="Normal 4 4 3 2 2" xfId="3591"/>
    <cellStyle name="Normal 4 4 3 2 3" xfId="3590"/>
    <cellStyle name="Normal 4 4 3 3" xfId="3592"/>
    <cellStyle name="Normal 4 4 3 4" xfId="3589"/>
    <cellStyle name="Normal 4 4 4" xfId="407"/>
    <cellStyle name="Normal 4 4 4 2" xfId="1037"/>
    <cellStyle name="Normal 4 4 4 2 2" xfId="3595"/>
    <cellStyle name="Normal 4 4 4 2 3" xfId="3594"/>
    <cellStyle name="Normal 4 4 4 3" xfId="3596"/>
    <cellStyle name="Normal 4 4 4 4" xfId="3593"/>
    <cellStyle name="Normal 4 4 5" xfId="565"/>
    <cellStyle name="Normal 4 4 5 2" xfId="1195"/>
    <cellStyle name="Normal 4 4 5 2 2" xfId="3599"/>
    <cellStyle name="Normal 4 4 5 2 3" xfId="3598"/>
    <cellStyle name="Normal 4 4 5 3" xfId="3600"/>
    <cellStyle name="Normal 4 4 5 4" xfId="3597"/>
    <cellStyle name="Normal 4 4 6" xfId="723"/>
    <cellStyle name="Normal 4 4 6 2" xfId="3602"/>
    <cellStyle name="Normal 4 4 6 3" xfId="3601"/>
    <cellStyle name="Normal 4 4 7" xfId="3603"/>
    <cellStyle name="Normal 4 4 8" xfId="3572"/>
    <cellStyle name="Normal 4 5" xfId="118"/>
    <cellStyle name="Normal 4 5 2" xfId="274"/>
    <cellStyle name="Normal 4 5 2 2" xfId="905"/>
    <cellStyle name="Normal 4 5 2 2 2" xfId="3607"/>
    <cellStyle name="Normal 4 5 2 2 3" xfId="3606"/>
    <cellStyle name="Normal 4 5 2 3" xfId="3608"/>
    <cellStyle name="Normal 4 5 2 4" xfId="3605"/>
    <cellStyle name="Normal 4 5 3" xfId="433"/>
    <cellStyle name="Normal 4 5 3 2" xfId="1063"/>
    <cellStyle name="Normal 4 5 3 2 2" xfId="3611"/>
    <cellStyle name="Normal 4 5 3 2 3" xfId="3610"/>
    <cellStyle name="Normal 4 5 3 3" xfId="3612"/>
    <cellStyle name="Normal 4 5 3 4" xfId="3609"/>
    <cellStyle name="Normal 4 5 4" xfId="591"/>
    <cellStyle name="Normal 4 5 4 2" xfId="1221"/>
    <cellStyle name="Normal 4 5 4 2 2" xfId="3615"/>
    <cellStyle name="Normal 4 5 4 2 3" xfId="3614"/>
    <cellStyle name="Normal 4 5 4 3" xfId="3616"/>
    <cellStyle name="Normal 4 5 4 4" xfId="3613"/>
    <cellStyle name="Normal 4 5 5" xfId="749"/>
    <cellStyle name="Normal 4 5 5 2" xfId="3618"/>
    <cellStyle name="Normal 4 5 5 3" xfId="3617"/>
    <cellStyle name="Normal 4 5 6" xfId="3619"/>
    <cellStyle name="Normal 4 5 7" xfId="3604"/>
    <cellStyle name="Normal 4 6" xfId="196"/>
    <cellStyle name="Normal 4 6 2" xfId="827"/>
    <cellStyle name="Normal 4 6 2 2" xfId="3622"/>
    <cellStyle name="Normal 4 6 2 3" xfId="3621"/>
    <cellStyle name="Normal 4 6 3" xfId="3623"/>
    <cellStyle name="Normal 4 6 4" xfId="3620"/>
    <cellStyle name="Normal 4 7" xfId="355"/>
    <cellStyle name="Normal 4 7 2" xfId="985"/>
    <cellStyle name="Normal 4 7 2 2" xfId="3626"/>
    <cellStyle name="Normal 4 7 2 3" xfId="3625"/>
    <cellStyle name="Normal 4 7 3" xfId="3627"/>
    <cellStyle name="Normal 4 7 4" xfId="3624"/>
    <cellStyle name="Normal 4 8" xfId="513"/>
    <cellStyle name="Normal 4 8 2" xfId="1143"/>
    <cellStyle name="Normal 4 8 2 2" xfId="3630"/>
    <cellStyle name="Normal 4 8 2 3" xfId="3629"/>
    <cellStyle name="Normal 4 8 3" xfId="3631"/>
    <cellStyle name="Normal 4 8 4" xfId="3628"/>
    <cellStyle name="Normal 4 9" xfId="671"/>
    <cellStyle name="Normal 4 9 2" xfId="3633"/>
    <cellStyle name="Normal 4 9 3" xfId="3632"/>
    <cellStyle name="Normal 5" xfId="26"/>
    <cellStyle name="Normal 5 10" xfId="3635"/>
    <cellStyle name="Normal 5 11" xfId="3634"/>
    <cellStyle name="Normal 5 2" xfId="57"/>
    <cellStyle name="Normal 5 3" xfId="70"/>
    <cellStyle name="Normal 5 3 2" xfId="148"/>
    <cellStyle name="Normal 5 3 2 2" xfId="304"/>
    <cellStyle name="Normal 5 3 2 2 2" xfId="935"/>
    <cellStyle name="Normal 5 3 2 2 2 2" xfId="3640"/>
    <cellStyle name="Normal 5 3 2 2 2 3" xfId="3639"/>
    <cellStyle name="Normal 5 3 2 2 3" xfId="3641"/>
    <cellStyle name="Normal 5 3 2 2 4" xfId="3638"/>
    <cellStyle name="Normal 5 3 2 3" xfId="463"/>
    <cellStyle name="Normal 5 3 2 3 2" xfId="1093"/>
    <cellStyle name="Normal 5 3 2 3 2 2" xfId="3644"/>
    <cellStyle name="Normal 5 3 2 3 2 3" xfId="3643"/>
    <cellStyle name="Normal 5 3 2 3 3" xfId="3645"/>
    <cellStyle name="Normal 5 3 2 3 4" xfId="3642"/>
    <cellStyle name="Normal 5 3 2 4" xfId="621"/>
    <cellStyle name="Normal 5 3 2 4 2" xfId="1251"/>
    <cellStyle name="Normal 5 3 2 4 2 2" xfId="3648"/>
    <cellStyle name="Normal 5 3 2 4 2 3" xfId="3647"/>
    <cellStyle name="Normal 5 3 2 4 3" xfId="3649"/>
    <cellStyle name="Normal 5 3 2 4 4" xfId="3646"/>
    <cellStyle name="Normal 5 3 2 5" xfId="779"/>
    <cellStyle name="Normal 5 3 2 5 2" xfId="3651"/>
    <cellStyle name="Normal 5 3 2 5 3" xfId="3650"/>
    <cellStyle name="Normal 5 3 2 6" xfId="3652"/>
    <cellStyle name="Normal 5 3 2 7" xfId="3637"/>
    <cellStyle name="Normal 5 3 3" xfId="226"/>
    <cellStyle name="Normal 5 3 3 2" xfId="857"/>
    <cellStyle name="Normal 5 3 3 2 2" xfId="3655"/>
    <cellStyle name="Normal 5 3 3 2 3" xfId="3654"/>
    <cellStyle name="Normal 5 3 3 3" xfId="3656"/>
    <cellStyle name="Normal 5 3 3 4" xfId="3653"/>
    <cellStyle name="Normal 5 3 4" xfId="385"/>
    <cellStyle name="Normal 5 3 4 2" xfId="1015"/>
    <cellStyle name="Normal 5 3 4 2 2" xfId="3659"/>
    <cellStyle name="Normal 5 3 4 2 3" xfId="3658"/>
    <cellStyle name="Normal 5 3 4 3" xfId="3660"/>
    <cellStyle name="Normal 5 3 4 4" xfId="3657"/>
    <cellStyle name="Normal 5 3 5" xfId="543"/>
    <cellStyle name="Normal 5 3 5 2" xfId="1173"/>
    <cellStyle name="Normal 5 3 5 2 2" xfId="3663"/>
    <cellStyle name="Normal 5 3 5 2 3" xfId="3662"/>
    <cellStyle name="Normal 5 3 5 3" xfId="3664"/>
    <cellStyle name="Normal 5 3 5 4" xfId="3661"/>
    <cellStyle name="Normal 5 3 6" xfId="701"/>
    <cellStyle name="Normal 5 3 6 2" xfId="3666"/>
    <cellStyle name="Normal 5 3 6 3" xfId="3665"/>
    <cellStyle name="Normal 5 3 7" xfId="3667"/>
    <cellStyle name="Normal 5 3 8" xfId="3636"/>
    <cellStyle name="Normal 5 4" xfId="96"/>
    <cellStyle name="Normal 5 4 2" xfId="174"/>
    <cellStyle name="Normal 5 4 2 2" xfId="330"/>
    <cellStyle name="Normal 5 4 2 2 2" xfId="961"/>
    <cellStyle name="Normal 5 4 2 2 2 2" xfId="3672"/>
    <cellStyle name="Normal 5 4 2 2 2 3" xfId="3671"/>
    <cellStyle name="Normal 5 4 2 2 3" xfId="3673"/>
    <cellStyle name="Normal 5 4 2 2 4" xfId="3670"/>
    <cellStyle name="Normal 5 4 2 3" xfId="489"/>
    <cellStyle name="Normal 5 4 2 3 2" xfId="1119"/>
    <cellStyle name="Normal 5 4 2 3 2 2" xfId="3676"/>
    <cellStyle name="Normal 5 4 2 3 2 3" xfId="3675"/>
    <cellStyle name="Normal 5 4 2 3 3" xfId="3677"/>
    <cellStyle name="Normal 5 4 2 3 4" xfId="3674"/>
    <cellStyle name="Normal 5 4 2 4" xfId="647"/>
    <cellStyle name="Normal 5 4 2 4 2" xfId="1277"/>
    <cellStyle name="Normal 5 4 2 4 2 2" xfId="3680"/>
    <cellStyle name="Normal 5 4 2 4 2 3" xfId="3679"/>
    <cellStyle name="Normal 5 4 2 4 3" xfId="3681"/>
    <cellStyle name="Normal 5 4 2 4 4" xfId="3678"/>
    <cellStyle name="Normal 5 4 2 5" xfId="805"/>
    <cellStyle name="Normal 5 4 2 5 2" xfId="3683"/>
    <cellStyle name="Normal 5 4 2 5 3" xfId="3682"/>
    <cellStyle name="Normal 5 4 2 6" xfId="3684"/>
    <cellStyle name="Normal 5 4 2 7" xfId="3669"/>
    <cellStyle name="Normal 5 4 3" xfId="252"/>
    <cellStyle name="Normal 5 4 3 2" xfId="883"/>
    <cellStyle name="Normal 5 4 3 2 2" xfId="3687"/>
    <cellStyle name="Normal 5 4 3 2 3" xfId="3686"/>
    <cellStyle name="Normal 5 4 3 3" xfId="3688"/>
    <cellStyle name="Normal 5 4 3 4" xfId="3685"/>
    <cellStyle name="Normal 5 4 4" xfId="411"/>
    <cellStyle name="Normal 5 4 4 2" xfId="1041"/>
    <cellStyle name="Normal 5 4 4 2 2" xfId="3691"/>
    <cellStyle name="Normal 5 4 4 2 3" xfId="3690"/>
    <cellStyle name="Normal 5 4 4 3" xfId="3692"/>
    <cellStyle name="Normal 5 4 4 4" xfId="3689"/>
    <cellStyle name="Normal 5 4 5" xfId="569"/>
    <cellStyle name="Normal 5 4 5 2" xfId="1199"/>
    <cellStyle name="Normal 5 4 5 2 2" xfId="3695"/>
    <cellStyle name="Normal 5 4 5 2 3" xfId="3696"/>
    <cellStyle name="Normal 5 4 5 2 4" xfId="3694"/>
    <cellStyle name="Normal 5 4 5 3" xfId="3697"/>
    <cellStyle name="Normal 5 4 5 4" xfId="3693"/>
    <cellStyle name="Normal 5 4 6" xfId="727"/>
    <cellStyle name="Normal 5 4 6 2" xfId="3699"/>
    <cellStyle name="Normal 5 4 6 3" xfId="3698"/>
    <cellStyle name="Normal 5 4 7" xfId="3700"/>
    <cellStyle name="Normal 5 4 8" xfId="3668"/>
    <cellStyle name="Normal 5 5" xfId="122"/>
    <cellStyle name="Normal 5 5 2" xfId="278"/>
    <cellStyle name="Normal 5 5 2 2" xfId="909"/>
    <cellStyle name="Normal 5 5 2 2 2" xfId="3704"/>
    <cellStyle name="Normal 5 5 2 2 3" xfId="3703"/>
    <cellStyle name="Normal 5 5 2 3" xfId="3705"/>
    <cellStyle name="Normal 5 5 2 4" xfId="3702"/>
    <cellStyle name="Normal 5 5 3" xfId="437"/>
    <cellStyle name="Normal 5 5 3 2" xfId="1067"/>
    <cellStyle name="Normal 5 5 3 2 2" xfId="3708"/>
    <cellStyle name="Normal 5 5 3 2 3" xfId="3707"/>
    <cellStyle name="Normal 5 5 3 3" xfId="3709"/>
    <cellStyle name="Normal 5 5 3 4" xfId="3706"/>
    <cellStyle name="Normal 5 5 4" xfId="595"/>
    <cellStyle name="Normal 5 5 4 2" xfId="1225"/>
    <cellStyle name="Normal 5 5 4 2 2" xfId="3712"/>
    <cellStyle name="Normal 5 5 4 2 3" xfId="3711"/>
    <cellStyle name="Normal 5 5 4 3" xfId="3713"/>
    <cellStyle name="Normal 5 5 4 4" xfId="3710"/>
    <cellStyle name="Normal 5 5 5" xfId="753"/>
    <cellStyle name="Normal 5 5 5 2" xfId="3715"/>
    <cellStyle name="Normal 5 5 5 3" xfId="3714"/>
    <cellStyle name="Normal 5 5 6" xfId="3716"/>
    <cellStyle name="Normal 5 5 7" xfId="3701"/>
    <cellStyle name="Normal 5 6" xfId="200"/>
    <cellStyle name="Normal 5 6 2" xfId="831"/>
    <cellStyle name="Normal 5 6 2 2" xfId="3719"/>
    <cellStyle name="Normal 5 6 2 3" xfId="3718"/>
    <cellStyle name="Normal 5 6 3" xfId="3720"/>
    <cellStyle name="Normal 5 6 4" xfId="3717"/>
    <cellStyle name="Normal 5 7" xfId="359"/>
    <cellStyle name="Normal 5 7 2" xfId="989"/>
    <cellStyle name="Normal 5 7 2 2" xfId="3723"/>
    <cellStyle name="Normal 5 7 2 3" xfId="3722"/>
    <cellStyle name="Normal 5 7 3" xfId="3724"/>
    <cellStyle name="Normal 5 7 4" xfId="3721"/>
    <cellStyle name="Normal 5 8" xfId="517"/>
    <cellStyle name="Normal 5 8 2" xfId="1147"/>
    <cellStyle name="Normal 5 8 2 2" xfId="3727"/>
    <cellStyle name="Normal 5 8 2 3" xfId="3726"/>
    <cellStyle name="Normal 5 8 3" xfId="3728"/>
    <cellStyle name="Normal 5 8 4" xfId="3725"/>
    <cellStyle name="Normal 5 9" xfId="675"/>
    <cellStyle name="Normal 5 9 2" xfId="3730"/>
    <cellStyle name="Normal 5 9 3" xfId="3729"/>
    <cellStyle name="Normal 6" xfId="346"/>
    <cellStyle name="Normal 6 2" xfId="505"/>
    <cellStyle name="Normal 6 2 2" xfId="1135"/>
    <cellStyle name="Normal 6 2 2 2" xfId="3734"/>
    <cellStyle name="Normal 6 2 2 3" xfId="3733"/>
    <cellStyle name="Normal 6 2 3" xfId="3735"/>
    <cellStyle name="Normal 6 2 4" xfId="3732"/>
    <cellStyle name="Normal 6 3" xfId="663"/>
    <cellStyle name="Normal 6 3 2" xfId="1293"/>
    <cellStyle name="Normal 6 3 2 2" xfId="3738"/>
    <cellStyle name="Normal 6 3 2 3" xfId="3737"/>
    <cellStyle name="Normal 6 3 3" xfId="1298"/>
    <cellStyle name="Normal 6 3 3 2" xfId="3739"/>
    <cellStyle name="Normal 6 3 4" xfId="1302"/>
    <cellStyle name="Normal 6 3 4 2" xfId="3740"/>
    <cellStyle name="Normal 6 3 5" xfId="1306"/>
    <cellStyle name="Normal 6 3 5 2" xfId="3741"/>
    <cellStyle name="Normal 6 3 6" xfId="3742"/>
    <cellStyle name="Normal 6 3 7" xfId="3743"/>
    <cellStyle name="Normal 6 3 8" xfId="3736"/>
    <cellStyle name="Normal 6 4" xfId="977"/>
    <cellStyle name="Normal 6 4 2" xfId="3745"/>
    <cellStyle name="Normal 6 4 3" xfId="3744"/>
    <cellStyle name="Normal 6 5" xfId="3746"/>
    <cellStyle name="Normal 6 6" xfId="3731"/>
    <cellStyle name="Normal 7" xfId="1296"/>
    <cellStyle name="Normal 7 2" xfId="3747"/>
    <cellStyle name="Normal 8" xfId="1300"/>
    <cellStyle name="Normal 8 2" xfId="3748"/>
    <cellStyle name="Normal 9" xfId="1304"/>
    <cellStyle name="Normal 9 2" xfId="3749"/>
    <cellStyle name="Porcentaje" xfId="3847" builtinId="5"/>
    <cellStyle name="Porcentual 2" xfId="7"/>
    <cellStyle name="Porcentual 2 10" xfId="670"/>
    <cellStyle name="Porcentual 2 10 2" xfId="3752"/>
    <cellStyle name="Porcentual 2 10 3" xfId="3751"/>
    <cellStyle name="Porcentual 2 11" xfId="21"/>
    <cellStyle name="Porcentual 2 11 2" xfId="3753"/>
    <cellStyle name="Porcentual 2 12" xfId="3750"/>
    <cellStyle name="Porcentual 2 2" xfId="14"/>
    <cellStyle name="Porcentual 2 2 2" xfId="59"/>
    <cellStyle name="Porcentual 2 3" xfId="58"/>
    <cellStyle name="Porcentual 2 4" xfId="65"/>
    <cellStyle name="Porcentual 2 4 2" xfId="143"/>
    <cellStyle name="Porcentual 2 4 2 2" xfId="299"/>
    <cellStyle name="Porcentual 2 4 2 2 2" xfId="930"/>
    <cellStyle name="Porcentual 2 4 2 2 2 2" xfId="3758"/>
    <cellStyle name="Porcentual 2 4 2 2 2 3" xfId="3757"/>
    <cellStyle name="Porcentual 2 4 2 2 3" xfId="3759"/>
    <cellStyle name="Porcentual 2 4 2 2 4" xfId="3756"/>
    <cellStyle name="Porcentual 2 4 2 3" xfId="458"/>
    <cellStyle name="Porcentual 2 4 2 3 2" xfId="1088"/>
    <cellStyle name="Porcentual 2 4 2 3 2 2" xfId="3762"/>
    <cellStyle name="Porcentual 2 4 2 3 2 3" xfId="3761"/>
    <cellStyle name="Porcentual 2 4 2 3 3" xfId="3763"/>
    <cellStyle name="Porcentual 2 4 2 3 4" xfId="3760"/>
    <cellStyle name="Porcentual 2 4 2 4" xfId="616"/>
    <cellStyle name="Porcentual 2 4 2 4 2" xfId="1246"/>
    <cellStyle name="Porcentual 2 4 2 4 2 2" xfId="3766"/>
    <cellStyle name="Porcentual 2 4 2 4 2 3" xfId="3765"/>
    <cellStyle name="Porcentual 2 4 2 4 3" xfId="3767"/>
    <cellStyle name="Porcentual 2 4 2 4 4" xfId="3764"/>
    <cellStyle name="Porcentual 2 4 2 5" xfId="774"/>
    <cellStyle name="Porcentual 2 4 2 5 2" xfId="3769"/>
    <cellStyle name="Porcentual 2 4 2 5 3" xfId="3768"/>
    <cellStyle name="Porcentual 2 4 2 6" xfId="3770"/>
    <cellStyle name="Porcentual 2 4 2 7" xfId="3755"/>
    <cellStyle name="Porcentual 2 4 3" xfId="221"/>
    <cellStyle name="Porcentual 2 4 3 2" xfId="852"/>
    <cellStyle name="Porcentual 2 4 3 2 2" xfId="3773"/>
    <cellStyle name="Porcentual 2 4 3 2 3" xfId="3772"/>
    <cellStyle name="Porcentual 2 4 3 3" xfId="3774"/>
    <cellStyle name="Porcentual 2 4 3 4" xfId="3771"/>
    <cellStyle name="Porcentual 2 4 4" xfId="380"/>
    <cellStyle name="Porcentual 2 4 4 2" xfId="1010"/>
    <cellStyle name="Porcentual 2 4 4 2 2" xfId="3777"/>
    <cellStyle name="Porcentual 2 4 4 2 3" xfId="3776"/>
    <cellStyle name="Porcentual 2 4 4 3" xfId="3778"/>
    <cellStyle name="Porcentual 2 4 4 4" xfId="3775"/>
    <cellStyle name="Porcentual 2 4 5" xfId="538"/>
    <cellStyle name="Porcentual 2 4 5 2" xfId="1168"/>
    <cellStyle name="Porcentual 2 4 5 2 2" xfId="3781"/>
    <cellStyle name="Porcentual 2 4 5 2 3" xfId="3780"/>
    <cellStyle name="Porcentual 2 4 5 3" xfId="3782"/>
    <cellStyle name="Porcentual 2 4 5 4" xfId="3779"/>
    <cellStyle name="Porcentual 2 4 6" xfId="696"/>
    <cellStyle name="Porcentual 2 4 6 2" xfId="3784"/>
    <cellStyle name="Porcentual 2 4 6 3" xfId="3783"/>
    <cellStyle name="Porcentual 2 4 7" xfId="3785"/>
    <cellStyle name="Porcentual 2 4 8" xfId="3754"/>
    <cellStyle name="Porcentual 2 5" xfId="91"/>
    <cellStyle name="Porcentual 2 5 2" xfId="169"/>
    <cellStyle name="Porcentual 2 5 2 2" xfId="325"/>
    <cellStyle name="Porcentual 2 5 2 2 2" xfId="956"/>
    <cellStyle name="Porcentual 2 5 2 2 2 2" xfId="3790"/>
    <cellStyle name="Porcentual 2 5 2 2 2 3" xfId="3789"/>
    <cellStyle name="Porcentual 2 5 2 2 3" xfId="3791"/>
    <cellStyle name="Porcentual 2 5 2 2 4" xfId="3788"/>
    <cellStyle name="Porcentual 2 5 2 3" xfId="484"/>
    <cellStyle name="Porcentual 2 5 2 3 2" xfId="1114"/>
    <cellStyle name="Porcentual 2 5 2 3 2 2" xfId="3794"/>
    <cellStyle name="Porcentual 2 5 2 3 2 3" xfId="3793"/>
    <cellStyle name="Porcentual 2 5 2 3 3" xfId="3795"/>
    <cellStyle name="Porcentual 2 5 2 3 4" xfId="3792"/>
    <cellStyle name="Porcentual 2 5 2 4" xfId="642"/>
    <cellStyle name="Porcentual 2 5 2 4 2" xfId="1272"/>
    <cellStyle name="Porcentual 2 5 2 4 2 2" xfId="3798"/>
    <cellStyle name="Porcentual 2 5 2 4 2 3" xfId="3797"/>
    <cellStyle name="Porcentual 2 5 2 4 3" xfId="3799"/>
    <cellStyle name="Porcentual 2 5 2 4 4" xfId="3796"/>
    <cellStyle name="Porcentual 2 5 2 5" xfId="800"/>
    <cellStyle name="Porcentual 2 5 2 5 2" xfId="3801"/>
    <cellStyle name="Porcentual 2 5 2 5 3" xfId="3800"/>
    <cellStyle name="Porcentual 2 5 2 6" xfId="3802"/>
    <cellStyle name="Porcentual 2 5 2 7" xfId="3787"/>
    <cellStyle name="Porcentual 2 5 3" xfId="247"/>
    <cellStyle name="Porcentual 2 5 3 2" xfId="878"/>
    <cellStyle name="Porcentual 2 5 3 2 2" xfId="3805"/>
    <cellStyle name="Porcentual 2 5 3 2 3" xfId="3804"/>
    <cellStyle name="Porcentual 2 5 3 3" xfId="3806"/>
    <cellStyle name="Porcentual 2 5 3 4" xfId="3803"/>
    <cellStyle name="Porcentual 2 5 4" xfId="406"/>
    <cellStyle name="Porcentual 2 5 4 2" xfId="1036"/>
    <cellStyle name="Porcentual 2 5 4 2 2" xfId="3809"/>
    <cellStyle name="Porcentual 2 5 4 2 3" xfId="3808"/>
    <cellStyle name="Porcentual 2 5 4 3" xfId="3810"/>
    <cellStyle name="Porcentual 2 5 4 4" xfId="3807"/>
    <cellStyle name="Porcentual 2 5 5" xfId="564"/>
    <cellStyle name="Porcentual 2 5 5 2" xfId="1194"/>
    <cellStyle name="Porcentual 2 5 5 2 2" xfId="3813"/>
    <cellStyle name="Porcentual 2 5 5 2 3" xfId="3812"/>
    <cellStyle name="Porcentual 2 5 5 3" xfId="3814"/>
    <cellStyle name="Porcentual 2 5 5 4" xfId="3811"/>
    <cellStyle name="Porcentual 2 5 6" xfId="722"/>
    <cellStyle name="Porcentual 2 5 6 2" xfId="3816"/>
    <cellStyle name="Porcentual 2 5 6 3" xfId="3815"/>
    <cellStyle name="Porcentual 2 5 7" xfId="3817"/>
    <cellStyle name="Porcentual 2 5 8" xfId="3786"/>
    <cellStyle name="Porcentual 2 6" xfId="117"/>
    <cellStyle name="Porcentual 2 6 2" xfId="273"/>
    <cellStyle name="Porcentual 2 6 2 2" xfId="904"/>
    <cellStyle name="Porcentual 2 6 2 2 2" xfId="3821"/>
    <cellStyle name="Porcentual 2 6 2 2 3" xfId="3820"/>
    <cellStyle name="Porcentual 2 6 2 3" xfId="3822"/>
    <cellStyle name="Porcentual 2 6 2 4" xfId="3819"/>
    <cellStyle name="Porcentual 2 6 3" xfId="432"/>
    <cellStyle name="Porcentual 2 6 3 2" xfId="1062"/>
    <cellStyle name="Porcentual 2 6 3 2 2" xfId="3825"/>
    <cellStyle name="Porcentual 2 6 3 2 3" xfId="3824"/>
    <cellStyle name="Porcentual 2 6 3 3" xfId="3826"/>
    <cellStyle name="Porcentual 2 6 3 4" xfId="3823"/>
    <cellStyle name="Porcentual 2 6 4" xfId="590"/>
    <cellStyle name="Porcentual 2 6 4 2" xfId="1220"/>
    <cellStyle name="Porcentual 2 6 4 2 2" xfId="3829"/>
    <cellStyle name="Porcentual 2 6 4 2 3" xfId="3828"/>
    <cellStyle name="Porcentual 2 6 4 3" xfId="3830"/>
    <cellStyle name="Porcentual 2 6 4 4" xfId="3827"/>
    <cellStyle name="Porcentual 2 6 5" xfId="748"/>
    <cellStyle name="Porcentual 2 6 5 2" xfId="3832"/>
    <cellStyle name="Porcentual 2 6 5 3" xfId="3831"/>
    <cellStyle name="Porcentual 2 6 6" xfId="3833"/>
    <cellStyle name="Porcentual 2 6 7" xfId="3818"/>
    <cellStyle name="Porcentual 2 7" xfId="195"/>
    <cellStyle name="Porcentual 2 7 2" xfId="826"/>
    <cellStyle name="Porcentual 2 7 2 2" xfId="3836"/>
    <cellStyle name="Porcentual 2 7 2 3" xfId="3835"/>
    <cellStyle name="Porcentual 2 7 3" xfId="3837"/>
    <cellStyle name="Porcentual 2 7 4" xfId="3834"/>
    <cellStyle name="Porcentual 2 8" xfId="354"/>
    <cellStyle name="Porcentual 2 8 2" xfId="984"/>
    <cellStyle name="Porcentual 2 8 2 2" xfId="3840"/>
    <cellStyle name="Porcentual 2 8 2 3" xfId="3839"/>
    <cellStyle name="Porcentual 2 8 3" xfId="3841"/>
    <cellStyle name="Porcentual 2 8 4" xfId="3838"/>
    <cellStyle name="Porcentual 2 9" xfId="512"/>
    <cellStyle name="Porcentual 2 9 2" xfId="1142"/>
    <cellStyle name="Porcentual 2 9 2 2" xfId="3844"/>
    <cellStyle name="Porcentual 2 9 2 3" xfId="3843"/>
    <cellStyle name="Porcentual 2 9 3" xfId="3845"/>
    <cellStyle name="Porcentual 2 9 4" xfId="3842"/>
    <cellStyle name="TableStyleLight1" xfId="8"/>
    <cellStyle name="TableStyleLight1 2" xfId="30"/>
    <cellStyle name="TableStyleLight1 3" xfId="1299"/>
    <cellStyle name="TableStyleLight1 4" xfId="1303"/>
    <cellStyle name="TableStyleLight1 5" xfId="1307"/>
    <cellStyle name="TableStyleLight1 6" xfId="384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EECE1"/>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BF1DE"/>
      <rgbColor rgb="00DBEEF4"/>
      <rgbColor rgb="00660066"/>
      <rgbColor rgb="00FF8080"/>
      <rgbColor rgb="000066CC"/>
      <rgbColor rgb="00C6D9F1"/>
      <rgbColor rgb="00000080"/>
      <rgbColor rgb="00FF00FF"/>
      <rgbColor rgb="00FFFF00"/>
      <rgbColor rgb="0000FFFF"/>
      <rgbColor rgb="00800080"/>
      <rgbColor rgb="00800000"/>
      <rgbColor rgb="00008080"/>
      <rgbColor rgb="000000FF"/>
      <rgbColor rgb="0000CCFF"/>
      <rgbColor rgb="00E6E0EC"/>
      <rgbColor rgb="00D7E4BD"/>
      <rgbColor rgb="00FDEADA"/>
      <rgbColor rgb="0099CCFF"/>
      <rgbColor rgb="00FF99CC"/>
      <rgbColor rgb="00CC99FF"/>
      <rgbColor rgb="00F2DCDB"/>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22222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699647876479589E-2"/>
          <c:y val="5.5497206818019354E-2"/>
          <c:w val="0.82480859755347102"/>
          <c:h val="0.83260026348846472"/>
        </c:manualLayout>
      </c:layout>
      <c:barChart>
        <c:barDir val="col"/>
        <c:grouping val="clustered"/>
        <c:varyColors val="0"/>
        <c:ser>
          <c:idx val="0"/>
          <c:order val="0"/>
          <c:tx>
            <c:strRef>
              <c:f>resumen!$C$5</c:f>
              <c:strCache>
                <c:ptCount val="1"/>
                <c:pt idx="0">
                  <c:v>Gastos Generales </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resumen!$D$4:$I$4</c:f>
              <c:strCache>
                <c:ptCount val="6"/>
                <c:pt idx="0">
                  <c:v>Presupuesto 2018</c:v>
                </c:pt>
                <c:pt idx="1">
                  <c:v>Disponibilidad - CDP</c:v>
                </c:pt>
                <c:pt idx="2">
                  <c:v>Pendiente por CDP</c:v>
                </c:pt>
                <c:pt idx="3">
                  <c:v>Compromisos </c:v>
                </c:pt>
                <c:pt idx="4">
                  <c:v>%</c:v>
                </c:pt>
                <c:pt idx="5">
                  <c:v>Pagos</c:v>
                </c:pt>
              </c:strCache>
            </c:strRef>
          </c:cat>
          <c:val>
            <c:numRef>
              <c:f>resumen!$D$5:$I$5</c:f>
              <c:numCache>
                <c:formatCode>_-"$"* #,##0_-;\-"$"* #,##0_-;_-"$"* "-"??_-;_-@_-</c:formatCode>
                <c:ptCount val="6"/>
                <c:pt idx="0">
                  <c:v>900000000.20000005</c:v>
                </c:pt>
                <c:pt idx="1">
                  <c:v>838556605</c:v>
                </c:pt>
                <c:pt idx="2">
                  <c:v>61443395.200000048</c:v>
                </c:pt>
                <c:pt idx="3">
                  <c:v>838556605</c:v>
                </c:pt>
                <c:pt idx="4" formatCode="0.0%">
                  <c:v>0.93172956090406001</c:v>
                </c:pt>
                <c:pt idx="5">
                  <c:v>686702957</c:v>
                </c:pt>
              </c:numCache>
            </c:numRef>
          </c:val>
          <c:extLst>
            <c:ext xmlns:c16="http://schemas.microsoft.com/office/drawing/2014/chart" uri="{C3380CC4-5D6E-409C-BE32-E72D297353CC}">
              <c16:uniqueId val="{00000000-A5F3-4F41-9CBE-DD5A2153AA7C}"/>
            </c:ext>
          </c:extLst>
        </c:ser>
        <c:ser>
          <c:idx val="1"/>
          <c:order val="1"/>
          <c:tx>
            <c:strRef>
              <c:f>resumen!$C$6</c:f>
              <c:strCache>
                <c:ptCount val="1"/>
                <c:pt idx="0">
                  <c:v>Inversión</c:v>
                </c:pt>
              </c:strCache>
            </c:strRef>
          </c:tx>
          <c:invertIfNegative val="0"/>
          <c:dLbls>
            <c:dLbl>
              <c:idx val="1"/>
              <c:layout>
                <c:manualLayout>
                  <c:x val="-1.4785823005001086E-2"/>
                  <c:y val="1.21580547112462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5F3-4F41-9CBE-DD5A2153AA7C}"/>
                </c:ext>
              </c:extLst>
            </c:dLbl>
            <c:dLbl>
              <c:idx val="2"/>
              <c:layout>
                <c:manualLayout>
                  <c:x val="-1.0437051532942008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F3-4F41-9CBE-DD5A2153AA7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resumen!$D$4:$I$4</c:f>
              <c:strCache>
                <c:ptCount val="6"/>
                <c:pt idx="0">
                  <c:v>Presupuesto 2018</c:v>
                </c:pt>
                <c:pt idx="1">
                  <c:v>Disponibilidad - CDP</c:v>
                </c:pt>
                <c:pt idx="2">
                  <c:v>Pendiente por CDP</c:v>
                </c:pt>
                <c:pt idx="3">
                  <c:v>Compromisos </c:v>
                </c:pt>
                <c:pt idx="4">
                  <c:v>%</c:v>
                </c:pt>
                <c:pt idx="5">
                  <c:v>Pagos</c:v>
                </c:pt>
              </c:strCache>
            </c:strRef>
          </c:cat>
          <c:val>
            <c:numRef>
              <c:f>resumen!$D$6:$I$6</c:f>
              <c:numCache>
                <c:formatCode>_-"$"* #,##0_-;\-"$"* #,##0_-;_-"$"* "-"??_-;_-@_-</c:formatCode>
                <c:ptCount val="6"/>
                <c:pt idx="0">
                  <c:v>6911692484.0079994</c:v>
                </c:pt>
                <c:pt idx="1">
                  <c:v>6895463756</c:v>
                </c:pt>
                <c:pt idx="2">
                  <c:v>16228728.00799942</c:v>
                </c:pt>
                <c:pt idx="3">
                  <c:v>6895463756.0079994</c:v>
                </c:pt>
                <c:pt idx="4" formatCode="0.0%">
                  <c:v>0.99765198928662557</c:v>
                </c:pt>
                <c:pt idx="5">
                  <c:v>6793126277</c:v>
                </c:pt>
              </c:numCache>
            </c:numRef>
          </c:val>
          <c:extLst>
            <c:ext xmlns:c16="http://schemas.microsoft.com/office/drawing/2014/chart" uri="{C3380CC4-5D6E-409C-BE32-E72D297353CC}">
              <c16:uniqueId val="{00000003-A5F3-4F41-9CBE-DD5A2153AA7C}"/>
            </c:ext>
          </c:extLst>
        </c:ser>
        <c:dLbls>
          <c:showLegendKey val="0"/>
          <c:showVal val="0"/>
          <c:showCatName val="0"/>
          <c:showSerName val="0"/>
          <c:showPercent val="0"/>
          <c:showBubbleSize val="0"/>
        </c:dLbls>
        <c:gapWidth val="150"/>
        <c:axId val="96064640"/>
        <c:axId val="96066176"/>
      </c:barChart>
      <c:catAx>
        <c:axId val="96064640"/>
        <c:scaling>
          <c:orientation val="minMax"/>
        </c:scaling>
        <c:delete val="0"/>
        <c:axPos val="b"/>
        <c:numFmt formatCode="General" sourceLinked="0"/>
        <c:majorTickMark val="out"/>
        <c:minorTickMark val="none"/>
        <c:tickLblPos val="nextTo"/>
        <c:crossAx val="96066176"/>
        <c:crosses val="autoZero"/>
        <c:auto val="1"/>
        <c:lblAlgn val="ctr"/>
        <c:lblOffset val="100"/>
        <c:noMultiLvlLbl val="0"/>
      </c:catAx>
      <c:valAx>
        <c:axId val="96066176"/>
        <c:scaling>
          <c:orientation val="minMax"/>
        </c:scaling>
        <c:delete val="0"/>
        <c:axPos val="l"/>
        <c:majorGridlines/>
        <c:numFmt formatCode="_-&quot;$&quot;* #,##0_-;\-&quot;$&quot;* #,##0_-;_-&quot;$&quot;* &quot;-&quot;??_-;_-@_-" sourceLinked="1"/>
        <c:majorTickMark val="out"/>
        <c:minorTickMark val="none"/>
        <c:tickLblPos val="nextTo"/>
        <c:crossAx val="96064640"/>
        <c:crosses val="autoZero"/>
        <c:crossBetween val="between"/>
      </c:valAx>
    </c:plotArea>
    <c:legend>
      <c:legendPos val="r"/>
      <c:layout>
        <c:manualLayout>
          <c:xMode val="edge"/>
          <c:yMode val="edge"/>
          <c:x val="0.84018975086671888"/>
          <c:y val="6.3644904165577096E-2"/>
          <c:w val="0.14627387251930798"/>
          <c:h val="0.1248627131940611"/>
        </c:manualLayout>
      </c:layout>
      <c:overlay val="0"/>
    </c:legend>
    <c:plotVisOnly val="1"/>
    <c:dispBlanksAs val="gap"/>
    <c:showDLblsOverMax val="0"/>
  </c:chart>
  <c:txPr>
    <a:bodyPr/>
    <a:lstStyle/>
    <a:p>
      <a:pPr>
        <a:defRPr sz="700"/>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142875</xdr:colOff>
      <xdr:row>0</xdr:row>
      <xdr:rowOff>66675</xdr:rowOff>
    </xdr:from>
    <xdr:to>
      <xdr:col>6</xdr:col>
      <xdr:colOff>762000</xdr:colOff>
      <xdr:row>5</xdr:row>
      <xdr:rowOff>28575</xdr:rowOff>
    </xdr:to>
    <xdr:pic>
      <xdr:nvPicPr>
        <xdr:cNvPr id="6540" name="3 Imagen" descr="Escudo IDEP.png">
          <a:extLst>
            <a:ext uri="{FF2B5EF4-FFF2-40B4-BE49-F238E27FC236}">
              <a16:creationId xmlns:a16="http://schemas.microsoft.com/office/drawing/2014/main" id="{00000000-0008-0000-0000-00008C19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62225" y="66675"/>
          <a:ext cx="619125" cy="876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1</xdr:rowOff>
    </xdr:from>
    <xdr:ext cx="847725" cy="426118"/>
    <xdr:pic>
      <xdr:nvPicPr>
        <xdr:cNvPr id="2" name="2 Imagen" descr="Logo Alta Definición.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847725" cy="426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144576</xdr:colOff>
      <xdr:row>0</xdr:row>
      <xdr:rowOff>1</xdr:rowOff>
    </xdr:from>
    <xdr:ext cx="847725" cy="500062"/>
    <xdr:pic>
      <xdr:nvPicPr>
        <xdr:cNvPr id="2" name="2 Imagen" descr="Logo Alta Definición.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6639" y="1"/>
          <a:ext cx="847725" cy="5000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0</xdr:col>
      <xdr:colOff>514350</xdr:colOff>
      <xdr:row>12</xdr:row>
      <xdr:rowOff>171450</xdr:rowOff>
    </xdr:from>
    <xdr:to>
      <xdr:col>8</xdr:col>
      <xdr:colOff>352426</xdr:colOff>
      <xdr:row>25</xdr:row>
      <xdr:rowOff>66675</xdr:rowOff>
    </xdr:to>
    <xdr:graphicFrame macro="">
      <xdr:nvGraphicFramePr>
        <xdr:cNvPr id="9" name="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quintero\Downloads\Plan%20de%20Adquisiciones%20%202018%20INVERSION%20VERSI&#211;N%201%2017%20de%20novi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nrozo\Mis%20documentos\Downloads\Plan%20de%20Adquisiciones%20%202018%20diciembre%2026%20de%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2%20de%20diciembre\PLAN%20DE%20COMPRAS%20%20BOGOTA%20HUMANA%20V%2011%2017%20de%20diciembr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LAN%20DE%20ADQUISICIONES%202017\Plan%20de%20Adquisiciones%20Inversi&#243;n%20y%20Funcionamiento%202017%20%20Versi&#243;n%206%20BOGOTA%20MEJOR%20PARA%20TODOS%20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SECOP"/>
      <sheetName val="listas"/>
    </sheetNames>
    <sheetDataSet>
      <sheetData sheetId="0"/>
      <sheetData sheetId="1"/>
      <sheetData sheetId="2"/>
      <sheetData sheetId="3">
        <row r="1">
          <cell r="B1" t="str">
            <v>CCE-02</v>
          </cell>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cuadro resumen"/>
      <sheetName val="Hoja2"/>
      <sheetName val="Hoja3"/>
    </sheetNames>
    <sheetDataSet>
      <sheetData sheetId="0" refreshError="1"/>
      <sheetData sheetId="1">
        <row r="2">
          <cell r="C2" t="str">
            <v xml:space="preserve">SEGUIMIENTO PRESUPUESTO DE INVERSIÓN  A 15 NOVIEMBRE 2013 </v>
          </cell>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dquisiciones "/>
      <sheetName val="GASTOS GENERALES"/>
      <sheetName val="ejecución"/>
      <sheetName val="SECOP II"/>
      <sheetName val="cronograma"/>
      <sheetName val="plan de acción"/>
      <sheetName val="TD Inversión"/>
      <sheetName val="TD Gastos Generales"/>
      <sheetName val="GG."/>
      <sheetName val="INVERSIÓN."/>
      <sheetName val="GG"/>
      <sheetName val="INVERSIÓN"/>
      <sheetName val="PARA IMPRIMIR"/>
      <sheetName val="Hoja4"/>
    </sheetNames>
    <sheetDataSet>
      <sheetData sheetId="0"/>
      <sheetData sheetId="1">
        <row r="103">
          <cell r="V103">
            <v>0</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EECE1"/>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adiaz@idep.edu.co" TargetMode="External"/><Relationship Id="rId26" Type="http://schemas.openxmlformats.org/officeDocument/2006/relationships/hyperlink" Target="mailto:lacu&#241;a@idep.edu.co" TargetMode="External"/><Relationship Id="rId39" Type="http://schemas.openxmlformats.org/officeDocument/2006/relationships/hyperlink" Target="mailto:jgutierrezs@idep.edu.co" TargetMode="External"/><Relationship Id="rId21" Type="http://schemas.openxmlformats.org/officeDocument/2006/relationships/hyperlink" Target="mailto:cplazas@idep.edu.co" TargetMode="External"/><Relationship Id="rId34" Type="http://schemas.openxmlformats.org/officeDocument/2006/relationships/hyperlink" Target="mailto:adiaz@idep.edu.co" TargetMode="External"/><Relationship Id="rId42" Type="http://schemas.openxmlformats.org/officeDocument/2006/relationships/hyperlink" Target="mailto:mbernal@idep.edu.co" TargetMode="External"/><Relationship Id="rId47" Type="http://schemas.openxmlformats.org/officeDocument/2006/relationships/hyperlink" Target="mailto:obonilla@idep.edu.co" TargetMode="External"/><Relationship Id="rId50" Type="http://schemas.openxmlformats.org/officeDocument/2006/relationships/hyperlink" Target="mailto:eortiz@idep.edu.co" TargetMode="External"/><Relationship Id="rId55" Type="http://schemas.openxmlformats.org/officeDocument/2006/relationships/comments" Target="../comments1.xml"/><Relationship Id="rId7" Type="http://schemas.openxmlformats.org/officeDocument/2006/relationships/hyperlink" Target="mailto:olsanchez@idep.edu.co" TargetMode="External"/><Relationship Id="rId2" Type="http://schemas.openxmlformats.org/officeDocument/2006/relationships/hyperlink" Target="mailto:olsanchez@idep.edu.co" TargetMode="External"/><Relationship Id="rId16" Type="http://schemas.openxmlformats.org/officeDocument/2006/relationships/hyperlink" Target="mailto:cplazas@idep.edu.co" TargetMode="External"/><Relationship Id="rId29" Type="http://schemas.openxmlformats.org/officeDocument/2006/relationships/hyperlink" Target="mailto:la@idep.edu.co" TargetMode="External"/><Relationship Id="rId11" Type="http://schemas.openxmlformats.org/officeDocument/2006/relationships/hyperlink" Target="mailto:cplazas@idep.edu.co" TargetMode="External"/><Relationship Id="rId24" Type="http://schemas.openxmlformats.org/officeDocument/2006/relationships/hyperlink" Target="mailto:cplazas@idep.edu.co" TargetMode="External"/><Relationship Id="rId32" Type="http://schemas.openxmlformats.org/officeDocument/2006/relationships/hyperlink" Target="mailto:obonilla@idep.edu.co" TargetMode="External"/><Relationship Id="rId37" Type="http://schemas.openxmlformats.org/officeDocument/2006/relationships/hyperlink" Target="mailto:jpalacio@idep.edu.co" TargetMode="External"/><Relationship Id="rId40" Type="http://schemas.openxmlformats.org/officeDocument/2006/relationships/hyperlink" Target="mailto:cplazas@idep.edu.co" TargetMode="External"/><Relationship Id="rId45" Type="http://schemas.openxmlformats.org/officeDocument/2006/relationships/hyperlink" Target="mailto:obonilla@idep.edu.co" TargetMode="External"/><Relationship Id="rId53" Type="http://schemas.openxmlformats.org/officeDocument/2006/relationships/drawing" Target="../drawings/drawing2.xml"/><Relationship Id="rId5" Type="http://schemas.openxmlformats.org/officeDocument/2006/relationships/hyperlink" Target="mailto:cplazas@idep.edu.co" TargetMode="External"/><Relationship Id="rId10" Type="http://schemas.openxmlformats.org/officeDocument/2006/relationships/hyperlink" Target="mailto:olsanchez@idep.edu.co" TargetMode="External"/><Relationship Id="rId19" Type="http://schemas.openxmlformats.org/officeDocument/2006/relationships/hyperlink" Target="mailto:adiaz@idep.edu.co" TargetMode="External"/><Relationship Id="rId31" Type="http://schemas.openxmlformats.org/officeDocument/2006/relationships/hyperlink" Target="mailto:lacu&#241;a@idep.edu.co" TargetMode="External"/><Relationship Id="rId44" Type="http://schemas.openxmlformats.org/officeDocument/2006/relationships/hyperlink" Target="mailto:obonilla@idep.edu.co" TargetMode="External"/><Relationship Id="rId52" Type="http://schemas.openxmlformats.org/officeDocument/2006/relationships/printerSettings" Target="../printerSettings/printerSettings2.bin"/><Relationship Id="rId4" Type="http://schemas.openxmlformats.org/officeDocument/2006/relationships/hyperlink" Target="mailto:adiazi@idep.edu.co" TargetMode="External"/><Relationship Id="rId9" Type="http://schemas.openxmlformats.org/officeDocument/2006/relationships/hyperlink" Target="mailto:olsanchez@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lacu&#241;a@idep.edu.co" TargetMode="External"/><Relationship Id="rId30" Type="http://schemas.openxmlformats.org/officeDocument/2006/relationships/hyperlink" Target="mailto:jpalacio@idep.edu.co" TargetMode="External"/><Relationship Id="rId35" Type="http://schemas.openxmlformats.org/officeDocument/2006/relationships/hyperlink" Target="mailto:adiaz@idep.edu.co" TargetMode="External"/><Relationship Id="rId43" Type="http://schemas.openxmlformats.org/officeDocument/2006/relationships/hyperlink" Target="mailto:mbernal@idep.edu.co" TargetMode="External"/><Relationship Id="rId48" Type="http://schemas.openxmlformats.org/officeDocument/2006/relationships/hyperlink" Target="mailto:obonilla@idep.edu.co" TargetMode="External"/><Relationship Id="rId8" Type="http://schemas.openxmlformats.org/officeDocument/2006/relationships/hyperlink" Target="mailto:cplazas@idep.edu.co" TargetMode="External"/><Relationship Id="rId51" Type="http://schemas.openxmlformats.org/officeDocument/2006/relationships/hyperlink" Target="mailto:eortiz@idep.edu.co" TargetMode="External"/><Relationship Id="rId3" Type="http://schemas.openxmlformats.org/officeDocument/2006/relationships/hyperlink" Target="mailto:adiazi@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cplazas@idep.edu.co" TargetMode="External"/><Relationship Id="rId33" Type="http://schemas.openxmlformats.org/officeDocument/2006/relationships/hyperlink" Target="mailto:obonilla@idep.edu.co" TargetMode="External"/><Relationship Id="rId38" Type="http://schemas.openxmlformats.org/officeDocument/2006/relationships/hyperlink" Target="mailto:rcortes@idep.edu.co" TargetMode="External"/><Relationship Id="rId46" Type="http://schemas.openxmlformats.org/officeDocument/2006/relationships/hyperlink" Target="mailto:eortiz@idep.edu.co" TargetMode="External"/><Relationship Id="rId20" Type="http://schemas.openxmlformats.org/officeDocument/2006/relationships/hyperlink" Target="mailto:rcortes@idep.edu.co" TargetMode="External"/><Relationship Id="rId41" Type="http://schemas.openxmlformats.org/officeDocument/2006/relationships/hyperlink" Target="mailto:olsanchez@idep.edu.co" TargetMode="External"/><Relationship Id="rId54" Type="http://schemas.openxmlformats.org/officeDocument/2006/relationships/vmlDrawing" Target="../drawings/vmlDrawing1.vml"/><Relationship Id="rId1" Type="http://schemas.openxmlformats.org/officeDocument/2006/relationships/hyperlink" Target="mailto:olsanchez@idep.edu.co" TargetMode="External"/><Relationship Id="rId6" Type="http://schemas.openxmlformats.org/officeDocument/2006/relationships/hyperlink" Target="mailto:adiazi@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lacu&#241;a@idep.edu.co" TargetMode="External"/><Relationship Id="rId36" Type="http://schemas.openxmlformats.org/officeDocument/2006/relationships/hyperlink" Target="mailto:adiaz@idep.edu.co" TargetMode="External"/><Relationship Id="rId49" Type="http://schemas.openxmlformats.org/officeDocument/2006/relationships/hyperlink" Target="mailto:eortiz@idep.edu.co"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mailto:lcorrea@idep.edu.co" TargetMode="External"/><Relationship Id="rId18" Type="http://schemas.openxmlformats.org/officeDocument/2006/relationships/hyperlink" Target="mailto:nbeltran@idep.edu.co" TargetMode="External"/><Relationship Id="rId26" Type="http://schemas.openxmlformats.org/officeDocument/2006/relationships/hyperlink" Target="mailto:agevara@idep.edu.co" TargetMode="External"/><Relationship Id="rId39" Type="http://schemas.openxmlformats.org/officeDocument/2006/relationships/hyperlink" Target="mailto:lcorrea@idep.edu.co" TargetMode="External"/><Relationship Id="rId21" Type="http://schemas.openxmlformats.org/officeDocument/2006/relationships/hyperlink" Target="mailto:nbeltran@idep.edu.co" TargetMode="External"/><Relationship Id="rId34" Type="http://schemas.openxmlformats.org/officeDocument/2006/relationships/hyperlink" Target="mailto:obonilla@idep.edu.co" TargetMode="External"/><Relationship Id="rId42" Type="http://schemas.openxmlformats.org/officeDocument/2006/relationships/hyperlink" Target="mailto:lcorrea@idep.edu.co" TargetMode="External"/><Relationship Id="rId47" Type="http://schemas.openxmlformats.org/officeDocument/2006/relationships/printerSettings" Target="../printerSettings/printerSettings3.bin"/><Relationship Id="rId50" Type="http://schemas.openxmlformats.org/officeDocument/2006/relationships/comments" Target="../comments2.xml"/><Relationship Id="rId7" Type="http://schemas.openxmlformats.org/officeDocument/2006/relationships/hyperlink" Target="mailto:lcorrea@idep.edu.co" TargetMode="External"/><Relationship Id="rId2" Type="http://schemas.openxmlformats.org/officeDocument/2006/relationships/hyperlink" Target="mailto:olsanchez@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bonilla@idep.edu.co" TargetMode="External"/><Relationship Id="rId32" Type="http://schemas.openxmlformats.org/officeDocument/2006/relationships/hyperlink" Target="mailto:cplazas@idep.edu.co" TargetMode="External"/><Relationship Id="rId37" Type="http://schemas.openxmlformats.org/officeDocument/2006/relationships/hyperlink" Target="mailto:cplazas@idep.edu.co" TargetMode="External"/><Relationship Id="rId40" Type="http://schemas.openxmlformats.org/officeDocument/2006/relationships/hyperlink" Target="mailto:olsanchez@idep.edu.co" TargetMode="External"/><Relationship Id="rId45" Type="http://schemas.openxmlformats.org/officeDocument/2006/relationships/hyperlink" Target="mailto:olsanchez@idep.edu.co" TargetMode="External"/><Relationship Id="rId5" Type="http://schemas.openxmlformats.org/officeDocument/2006/relationships/hyperlink" Target="mailto:olsanchez@idep.edu.co" TargetMode="External"/><Relationship Id="rId15" Type="http://schemas.openxmlformats.org/officeDocument/2006/relationships/hyperlink" Target="mailto:lcorrea@idep.edu.co" TargetMode="External"/><Relationship Id="rId23" Type="http://schemas.openxmlformats.org/officeDocument/2006/relationships/hyperlink" Target="mailto:olsanchez@idep.edu.co" TargetMode="External"/><Relationship Id="rId28" Type="http://schemas.openxmlformats.org/officeDocument/2006/relationships/hyperlink" Target="mailto:agevara@idep.edu.co" TargetMode="External"/><Relationship Id="rId36" Type="http://schemas.openxmlformats.org/officeDocument/2006/relationships/hyperlink" Target="mailto:lcorrea@idep.edu.co" TargetMode="External"/><Relationship Id="rId49" Type="http://schemas.openxmlformats.org/officeDocument/2006/relationships/vmlDrawing" Target="../drawings/vmlDrawing2.vml"/><Relationship Id="rId10" Type="http://schemas.openxmlformats.org/officeDocument/2006/relationships/hyperlink" Target="mailto:cplazas@idep.edu.co" TargetMode="External"/><Relationship Id="rId19" Type="http://schemas.openxmlformats.org/officeDocument/2006/relationships/hyperlink" Target="mailto:nbeltran@idep.edu.co" TargetMode="External"/><Relationship Id="rId31" Type="http://schemas.openxmlformats.org/officeDocument/2006/relationships/hyperlink" Target="mailto:cplazas@idep.edu.co" TargetMode="External"/><Relationship Id="rId44" Type="http://schemas.openxmlformats.org/officeDocument/2006/relationships/hyperlink" Target="mailto:olsanchez@idep.edu.co" TargetMode="External"/><Relationship Id="rId4" Type="http://schemas.openxmlformats.org/officeDocument/2006/relationships/hyperlink" Target="mailto:olsanchez@idep.edu.co" TargetMode="External"/><Relationship Id="rId9" Type="http://schemas.openxmlformats.org/officeDocument/2006/relationships/hyperlink" Target="mailto:cplazas@idep.edu.co" TargetMode="External"/><Relationship Id="rId14" Type="http://schemas.openxmlformats.org/officeDocument/2006/relationships/hyperlink" Target="mailto:lcorrea@idep.edu.co" TargetMode="External"/><Relationship Id="rId22" Type="http://schemas.openxmlformats.org/officeDocument/2006/relationships/hyperlink" Target="mailto:nbeltran@idep.edu.co" TargetMode="External"/><Relationship Id="rId27" Type="http://schemas.openxmlformats.org/officeDocument/2006/relationships/hyperlink" Target="mailto:agevara@idep.edu.co" TargetMode="External"/><Relationship Id="rId30" Type="http://schemas.openxmlformats.org/officeDocument/2006/relationships/hyperlink" Target="mailto:cplazas@idep.edu.co" TargetMode="External"/><Relationship Id="rId35" Type="http://schemas.openxmlformats.org/officeDocument/2006/relationships/hyperlink" Target="mailto:cplazas@idep.edu.co" TargetMode="External"/><Relationship Id="rId43" Type="http://schemas.openxmlformats.org/officeDocument/2006/relationships/hyperlink" Target="mailto:olsanchez@idep.edu.co" TargetMode="External"/><Relationship Id="rId48" Type="http://schemas.openxmlformats.org/officeDocument/2006/relationships/drawing" Target="../drawings/drawing3.xml"/><Relationship Id="rId8" Type="http://schemas.openxmlformats.org/officeDocument/2006/relationships/hyperlink" Target="mailto:lcorrea@idep.edu.co" TargetMode="External"/><Relationship Id="rId3" Type="http://schemas.openxmlformats.org/officeDocument/2006/relationships/hyperlink" Target="mailto:olsanchez@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agevara@idep.edu.co" TargetMode="External"/><Relationship Id="rId33" Type="http://schemas.openxmlformats.org/officeDocument/2006/relationships/hyperlink" Target="mailto:ogomez@idep.edu.co" TargetMode="External"/><Relationship Id="rId38" Type="http://schemas.openxmlformats.org/officeDocument/2006/relationships/hyperlink" Target="mailto:olsanchez@idep.edu.co" TargetMode="External"/><Relationship Id="rId46" Type="http://schemas.openxmlformats.org/officeDocument/2006/relationships/hyperlink" Target="mailto:olsanchez@idep.edu.co" TargetMode="External"/><Relationship Id="rId20" Type="http://schemas.openxmlformats.org/officeDocument/2006/relationships/hyperlink" Target="mailto:nbeltran@idep.edu.co" TargetMode="External"/><Relationship Id="rId41" Type="http://schemas.openxmlformats.org/officeDocument/2006/relationships/hyperlink" Target="mailto:cplazas@idep.edu.co" TargetMode="External"/><Relationship Id="rId1" Type="http://schemas.openxmlformats.org/officeDocument/2006/relationships/hyperlink" Target="mailto:nbeltran@idep.edu.co" TargetMode="External"/><Relationship Id="rId6" Type="http://schemas.openxmlformats.org/officeDocument/2006/relationships/hyperlink" Target="mailto:olsanchez@idep.edu.co"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279"/>
  <sheetViews>
    <sheetView topLeftCell="C16" zoomScale="80" zoomScaleNormal="80" zoomScaleSheetLayoutView="130" workbookViewId="0">
      <pane xSplit="9" ySplit="2" topLeftCell="AB87" activePane="bottomRight" state="frozen"/>
      <selection activeCell="C16" sqref="C16"/>
      <selection pane="topRight" activeCell="L16" sqref="L16"/>
      <selection pane="bottomLeft" activeCell="C18" sqref="C18"/>
      <selection pane="bottomRight" activeCell="J116" sqref="J116"/>
    </sheetView>
  </sheetViews>
  <sheetFormatPr baseColWidth="10" defaultColWidth="11.42578125" defaultRowHeight="12.75" x14ac:dyDescent="0.25"/>
  <cols>
    <col min="1" max="1" width="4.28515625" style="1" customWidth="1"/>
    <col min="2" max="2" width="5.28515625" style="1" customWidth="1"/>
    <col min="3" max="3" width="5.7109375" style="1" customWidth="1"/>
    <col min="4" max="4" width="7.5703125" style="1" customWidth="1"/>
    <col min="5" max="5" width="7" style="1" customWidth="1"/>
    <col min="6" max="6" width="6.42578125" style="1" customWidth="1"/>
    <col min="7" max="7" width="18.5703125" style="1" customWidth="1"/>
    <col min="8" max="8" width="13.140625" style="1" customWidth="1"/>
    <col min="9" max="9" width="0.140625" style="1" customWidth="1"/>
    <col min="10" max="10" width="6.5703125" style="1" customWidth="1"/>
    <col min="11" max="11" width="62.140625" style="1" customWidth="1"/>
    <col min="12" max="12" width="7.85546875" style="4" customWidth="1"/>
    <col min="13" max="13" width="6.140625" style="4" customWidth="1"/>
    <col min="14" max="14" width="8" style="4" customWidth="1"/>
    <col min="15" max="15" width="16.42578125" style="1" customWidth="1"/>
    <col min="16" max="16" width="16.5703125" style="1" hidden="1" customWidth="1"/>
    <col min="17" max="17" width="18.5703125" style="1" hidden="1" customWidth="1"/>
    <col min="18" max="18" width="14.5703125" style="1" customWidth="1"/>
    <col min="19" max="19" width="11" style="1" hidden="1" customWidth="1"/>
    <col min="20" max="20" width="17.5703125" style="1" hidden="1" customWidth="1"/>
    <col min="21" max="21" width="0.28515625" style="1" hidden="1" customWidth="1"/>
    <col min="22" max="22" width="18.7109375" style="1" hidden="1" customWidth="1"/>
    <col min="23" max="24" width="16.42578125" style="1" customWidth="1"/>
    <col min="25" max="25" width="14.7109375" style="1" customWidth="1"/>
    <col min="26" max="26" width="16.7109375" style="1" customWidth="1"/>
    <col min="27" max="27" width="18.28515625" style="1" customWidth="1"/>
    <col min="28" max="28" width="5.7109375" style="1" customWidth="1"/>
    <col min="29" max="29" width="30.5703125" style="1" customWidth="1"/>
    <col min="30" max="30" width="14.140625" style="1" customWidth="1"/>
    <col min="31" max="31" width="25.28515625" style="1" hidden="1" customWidth="1"/>
    <col min="32" max="32" width="17.42578125" style="1" hidden="1" customWidth="1"/>
    <col min="33" max="33" width="17.140625" style="1" hidden="1" customWidth="1"/>
    <col min="34" max="34" width="17.28515625" style="3" customWidth="1"/>
    <col min="35" max="35" width="16.5703125" style="2" bestFit="1" customWidth="1"/>
    <col min="36" max="36" width="20.140625" style="1" customWidth="1"/>
    <col min="37" max="37" width="14.28515625" style="1" bestFit="1" customWidth="1"/>
    <col min="38" max="38" width="18.85546875" style="1" bestFit="1" customWidth="1"/>
    <col min="39" max="39" width="17.42578125" style="1" bestFit="1" customWidth="1"/>
    <col min="40" max="40" width="14.28515625" style="1" bestFit="1" customWidth="1"/>
    <col min="41" max="41" width="18.85546875" style="1" bestFit="1" customWidth="1"/>
    <col min="42" max="42" width="15.42578125" style="1" bestFit="1" customWidth="1"/>
    <col min="43" max="16384" width="11.42578125" style="1"/>
  </cols>
  <sheetData>
    <row r="1" spans="2:35" ht="16.5" customHeight="1" x14ac:dyDescent="0.25"/>
    <row r="2" spans="2:35" ht="14.25" customHeight="1" x14ac:dyDescent="0.25">
      <c r="H2" s="1282" t="s">
        <v>499</v>
      </c>
      <c r="I2" s="1282"/>
      <c r="J2" s="1282"/>
      <c r="K2" s="1282"/>
      <c r="L2" s="1282"/>
      <c r="M2" s="1282"/>
      <c r="N2" s="1282"/>
      <c r="O2" s="1282"/>
      <c r="P2" s="1282"/>
      <c r="Q2" s="1282"/>
      <c r="R2" s="1282"/>
      <c r="S2" s="1282"/>
      <c r="T2" s="539"/>
      <c r="U2" s="1281" t="s">
        <v>498</v>
      </c>
      <c r="V2" s="1281"/>
      <c r="W2" s="1281"/>
    </row>
    <row r="3" spans="2:35" ht="19.5" customHeight="1" x14ac:dyDescent="0.25">
      <c r="H3" s="1282"/>
      <c r="I3" s="1282"/>
      <c r="J3" s="1282"/>
      <c r="K3" s="1282"/>
      <c r="L3" s="1282"/>
      <c r="M3" s="1282"/>
      <c r="N3" s="1282"/>
      <c r="O3" s="1282"/>
      <c r="P3" s="1282"/>
      <c r="Q3" s="1282"/>
      <c r="R3" s="1282"/>
      <c r="S3" s="1282"/>
      <c r="T3" s="539"/>
      <c r="U3" s="1281" t="s">
        <v>497</v>
      </c>
      <c r="V3" s="1281"/>
      <c r="W3" s="1281"/>
      <c r="Y3" s="13"/>
    </row>
    <row r="4" spans="2:35" ht="5.25" customHeight="1" x14ac:dyDescent="0.25">
      <c r="H4" s="1282"/>
      <c r="I4" s="1282"/>
      <c r="J4" s="1282"/>
      <c r="K4" s="1282"/>
      <c r="L4" s="1282"/>
      <c r="M4" s="1282"/>
      <c r="N4" s="1282"/>
      <c r="O4" s="1282"/>
      <c r="P4" s="1282"/>
      <c r="Q4" s="1282"/>
      <c r="R4" s="1282"/>
      <c r="S4" s="1282"/>
      <c r="T4" s="539"/>
      <c r="U4" s="530" t="s">
        <v>496</v>
      </c>
      <c r="V4" s="530"/>
      <c r="W4" s="530"/>
      <c r="Y4" s="13"/>
    </row>
    <row r="5" spans="2:35" ht="16.5" customHeight="1" x14ac:dyDescent="0.25">
      <c r="H5" s="1282"/>
      <c r="I5" s="1282"/>
      <c r="J5" s="1282"/>
      <c r="K5" s="1282"/>
      <c r="L5" s="1282"/>
      <c r="M5" s="1282"/>
      <c r="N5" s="1282"/>
      <c r="O5" s="1282"/>
      <c r="P5" s="1282"/>
      <c r="Q5" s="1282"/>
      <c r="R5" s="1282"/>
      <c r="S5" s="1282"/>
      <c r="T5" s="539"/>
      <c r="U5" s="530"/>
      <c r="V5" s="530"/>
      <c r="W5" s="530"/>
      <c r="Y5" s="13"/>
    </row>
    <row r="6" spans="2:35" ht="12" customHeight="1" x14ac:dyDescent="0.25">
      <c r="O6" s="531"/>
      <c r="P6" s="531"/>
      <c r="Q6" s="531"/>
      <c r="R6" s="531"/>
      <c r="S6" s="531"/>
      <c r="T6" s="531"/>
      <c r="U6" s="530"/>
      <c r="V6" s="530"/>
      <c r="W6" s="530"/>
      <c r="Y6" s="13"/>
    </row>
    <row r="7" spans="2:35" ht="12" customHeight="1" x14ac:dyDescent="0.25">
      <c r="D7" s="21" t="s">
        <v>0</v>
      </c>
      <c r="E7" s="4"/>
      <c r="F7" s="4"/>
      <c r="G7" s="4"/>
      <c r="H7" s="4"/>
      <c r="I7" s="4"/>
      <c r="J7" s="538"/>
      <c r="K7" s="538"/>
      <c r="L7" s="538"/>
      <c r="M7" s="538"/>
      <c r="N7" s="538"/>
      <c r="O7" s="531"/>
      <c r="P7" s="531"/>
      <c r="Q7" s="531"/>
      <c r="R7" s="531"/>
      <c r="S7" s="531"/>
      <c r="T7" s="531"/>
      <c r="U7" s="530"/>
      <c r="V7" s="530"/>
      <c r="W7" s="530"/>
      <c r="Y7" s="13"/>
    </row>
    <row r="8" spans="2:35" ht="15" customHeight="1" x14ac:dyDescent="0.25">
      <c r="D8" s="535" t="s">
        <v>495</v>
      </c>
      <c r="E8" s="535"/>
      <c r="F8" s="535"/>
      <c r="G8" s="535"/>
      <c r="H8" s="535"/>
      <c r="I8" s="535"/>
      <c r="J8" s="534"/>
      <c r="K8" s="534"/>
      <c r="L8" s="534"/>
      <c r="M8" s="533"/>
      <c r="N8" s="532"/>
      <c r="O8" s="531"/>
      <c r="P8" s="531"/>
      <c r="Q8" s="531"/>
      <c r="R8" s="531"/>
      <c r="S8" s="531"/>
      <c r="T8" s="531"/>
      <c r="U8" s="530"/>
      <c r="V8" s="530"/>
      <c r="W8" s="530"/>
      <c r="Y8" s="13"/>
    </row>
    <row r="9" spans="2:35" ht="16.5" customHeight="1" x14ac:dyDescent="0.25">
      <c r="D9" s="535" t="s">
        <v>494</v>
      </c>
      <c r="E9" s="535"/>
      <c r="F9" s="536"/>
      <c r="G9" s="536"/>
      <c r="H9" s="536"/>
      <c r="I9" s="536"/>
      <c r="J9" s="537"/>
      <c r="K9" s="532"/>
      <c r="L9" s="532"/>
      <c r="M9" s="532"/>
      <c r="N9" s="532"/>
      <c r="O9" s="531"/>
      <c r="P9" s="531"/>
      <c r="Q9" s="531"/>
      <c r="R9" s="531"/>
      <c r="S9" s="531"/>
      <c r="T9" s="531"/>
      <c r="U9" s="530"/>
      <c r="V9" s="530"/>
      <c r="W9" s="530"/>
      <c r="Y9" s="13"/>
    </row>
    <row r="10" spans="2:35" ht="19.5" customHeight="1" x14ac:dyDescent="0.25">
      <c r="D10" s="535" t="s">
        <v>493</v>
      </c>
      <c r="E10" s="535"/>
      <c r="F10" s="536"/>
      <c r="G10" s="536"/>
      <c r="H10" s="536"/>
      <c r="I10" s="536"/>
      <c r="J10" s="532"/>
      <c r="K10" s="532"/>
      <c r="L10" s="532"/>
      <c r="M10" s="532"/>
      <c r="N10" s="532"/>
      <c r="O10" s="531"/>
      <c r="P10" s="531"/>
      <c r="Q10" s="531"/>
      <c r="R10" s="531"/>
      <c r="S10" s="531"/>
      <c r="T10" s="531"/>
      <c r="U10" s="530"/>
      <c r="V10" s="530"/>
      <c r="W10" s="530"/>
      <c r="Y10" s="13"/>
    </row>
    <row r="11" spans="2:35" ht="19.5" customHeight="1" x14ac:dyDescent="0.25">
      <c r="D11" s="1284" t="s">
        <v>492</v>
      </c>
      <c r="E11" s="1284"/>
      <c r="F11" s="1284"/>
      <c r="G11" s="1284"/>
      <c r="H11" s="1284"/>
      <c r="I11" s="1284"/>
      <c r="J11" s="1284"/>
      <c r="K11" s="1284"/>
      <c r="L11" s="1284"/>
      <c r="M11" s="1284"/>
      <c r="N11" s="1284"/>
      <c r="O11" s="531"/>
      <c r="P11" s="531"/>
      <c r="Q11" s="531"/>
      <c r="R11" s="531"/>
      <c r="S11" s="531"/>
      <c r="T11" s="531"/>
      <c r="U11" s="530"/>
      <c r="V11" s="530"/>
      <c r="W11" s="530"/>
      <c r="Y11" s="13"/>
    </row>
    <row r="12" spans="2:35" ht="21.75" customHeight="1" x14ac:dyDescent="0.25">
      <c r="D12" s="535" t="s">
        <v>491</v>
      </c>
      <c r="E12" s="535"/>
      <c r="F12" s="535"/>
      <c r="G12" s="535"/>
      <c r="H12" s="535"/>
      <c r="I12" s="535"/>
      <c r="J12" s="534"/>
      <c r="K12" s="534"/>
      <c r="L12" s="534"/>
      <c r="M12" s="533"/>
      <c r="N12" s="532"/>
      <c r="O12" s="531"/>
      <c r="P12" s="531"/>
      <c r="Q12" s="531"/>
      <c r="R12" s="531"/>
      <c r="S12" s="531"/>
      <c r="T12" s="531"/>
      <c r="U12" s="530"/>
      <c r="V12" s="530"/>
      <c r="W12" s="530"/>
      <c r="Y12" s="13"/>
    </row>
    <row r="13" spans="2:35" ht="15" customHeight="1" x14ac:dyDescent="0.25">
      <c r="D13" s="535" t="s">
        <v>490</v>
      </c>
      <c r="E13" s="535"/>
      <c r="F13" s="535"/>
      <c r="G13" s="535"/>
      <c r="H13" s="535"/>
      <c r="I13" s="535"/>
      <c r="J13" s="534"/>
      <c r="K13" s="534"/>
      <c r="L13" s="534"/>
      <c r="M13" s="533"/>
      <c r="N13" s="532"/>
      <c r="O13" s="531"/>
      <c r="P13" s="531"/>
      <c r="Q13" s="531"/>
      <c r="R13" s="531"/>
      <c r="S13" s="531"/>
      <c r="T13" s="531"/>
      <c r="U13" s="530"/>
      <c r="V13" s="530"/>
      <c r="W13" s="530"/>
      <c r="Y13" s="13"/>
      <c r="AA13" s="11"/>
    </row>
    <row r="14" spans="2:35" ht="2.25" hidden="1" customHeight="1" x14ac:dyDescent="0.25">
      <c r="D14" s="535" t="s">
        <v>489</v>
      </c>
      <c r="E14" s="535"/>
      <c r="F14" s="535"/>
      <c r="G14" s="535"/>
      <c r="H14" s="535"/>
      <c r="I14" s="535"/>
      <c r="J14" s="534"/>
      <c r="K14" s="534"/>
      <c r="L14" s="534"/>
      <c r="M14" s="533"/>
      <c r="N14" s="532"/>
      <c r="O14" s="531"/>
      <c r="P14" s="531"/>
      <c r="Q14" s="531"/>
      <c r="R14" s="531"/>
      <c r="S14" s="531"/>
      <c r="T14" s="531"/>
      <c r="U14" s="530"/>
      <c r="V14" s="530"/>
      <c r="W14" s="530"/>
      <c r="Y14" s="13"/>
    </row>
    <row r="15" spans="2:35" s="13" customFormat="1" ht="46.5" customHeight="1" x14ac:dyDescent="0.25">
      <c r="C15" s="529"/>
      <c r="D15" s="1284" t="s">
        <v>488</v>
      </c>
      <c r="E15" s="1284"/>
      <c r="F15" s="1284"/>
      <c r="G15" s="1284"/>
      <c r="H15" s="1284"/>
      <c r="I15" s="1284"/>
      <c r="J15" s="1284"/>
      <c r="K15" s="1284"/>
      <c r="L15" s="1284"/>
      <c r="M15" s="1284"/>
      <c r="N15" s="1284"/>
      <c r="O15" s="528"/>
      <c r="P15" s="527"/>
      <c r="Q15" s="527"/>
      <c r="R15" s="527"/>
      <c r="S15" s="527"/>
      <c r="T15" s="527"/>
      <c r="U15" s="527"/>
      <c r="V15" s="527"/>
      <c r="W15" s="527"/>
      <c r="X15" s="1292" t="str">
        <f>+'[3]cuadro resumen'!C2</f>
        <v xml:space="preserve">SEGUIMIENTO PRESUPUESTO DE INVERSIÓN  A 15 NOVIEMBRE 2013 </v>
      </c>
      <c r="Y15" s="1292"/>
      <c r="AH15" s="3"/>
      <c r="AI15" s="2"/>
    </row>
    <row r="16" spans="2:35" s="13" customFormat="1" ht="42" customHeight="1" x14ac:dyDescent="0.25">
      <c r="B16" s="1300" t="s">
        <v>1</v>
      </c>
      <c r="C16" s="1310" t="s">
        <v>2</v>
      </c>
      <c r="D16" s="1312" t="s">
        <v>487</v>
      </c>
      <c r="E16" s="1210" t="s">
        <v>486</v>
      </c>
      <c r="F16" s="1210" t="s">
        <v>485</v>
      </c>
      <c r="G16" s="1283" t="s">
        <v>3</v>
      </c>
      <c r="H16" s="1283" t="s">
        <v>484</v>
      </c>
      <c r="I16" s="1200" t="s">
        <v>483</v>
      </c>
      <c r="J16" s="1200" t="s">
        <v>15</v>
      </c>
      <c r="K16" s="1200" t="s">
        <v>16</v>
      </c>
      <c r="L16" s="1289" t="s">
        <v>482</v>
      </c>
      <c r="M16" s="1290"/>
      <c r="N16" s="1291"/>
      <c r="O16" s="1195" t="s">
        <v>4</v>
      </c>
      <c r="P16" s="1196"/>
      <c r="Q16" s="1197"/>
      <c r="R16" s="1189" t="s">
        <v>5</v>
      </c>
      <c r="S16" s="1190"/>
      <c r="T16" s="1190"/>
      <c r="U16" s="1190"/>
      <c r="V16" s="1191"/>
      <c r="W16" s="1186" t="s">
        <v>6</v>
      </c>
      <c r="X16" s="521" t="s">
        <v>481</v>
      </c>
      <c r="Y16" s="520" t="s">
        <v>480</v>
      </c>
      <c r="Z16" s="1184" t="s">
        <v>6</v>
      </c>
      <c r="AA16" s="1184" t="s">
        <v>479</v>
      </c>
      <c r="AB16" s="1182" t="s">
        <v>478</v>
      </c>
      <c r="AC16" s="1182" t="s">
        <v>477</v>
      </c>
      <c r="AD16" s="1180" t="s">
        <v>476</v>
      </c>
      <c r="AE16" s="1172" t="s">
        <v>475</v>
      </c>
      <c r="AF16" s="1208" t="s">
        <v>474</v>
      </c>
      <c r="AG16" s="1170" t="s">
        <v>473</v>
      </c>
      <c r="AH16" s="1301" t="s">
        <v>472</v>
      </c>
      <c r="AI16" s="1302" t="s">
        <v>471</v>
      </c>
    </row>
    <row r="17" spans="2:35" ht="50.25" customHeight="1" x14ac:dyDescent="0.25">
      <c r="B17" s="1300"/>
      <c r="C17" s="1311"/>
      <c r="D17" s="1313"/>
      <c r="E17" s="1287"/>
      <c r="F17" s="1210"/>
      <c r="G17" s="1283"/>
      <c r="H17" s="1283"/>
      <c r="I17" s="1201"/>
      <c r="J17" s="1201"/>
      <c r="K17" s="1201"/>
      <c r="L17" s="526" t="s">
        <v>470</v>
      </c>
      <c r="M17" s="526" t="s">
        <v>469</v>
      </c>
      <c r="N17" s="526" t="s">
        <v>468</v>
      </c>
      <c r="O17" s="525" t="s">
        <v>464</v>
      </c>
      <c r="P17" s="523" t="s">
        <v>465</v>
      </c>
      <c r="Q17" s="523" t="s">
        <v>7</v>
      </c>
      <c r="R17" s="523" t="s">
        <v>467</v>
      </c>
      <c r="S17" s="524" t="s">
        <v>466</v>
      </c>
      <c r="T17" s="524"/>
      <c r="U17" s="523" t="s">
        <v>465</v>
      </c>
      <c r="V17" s="522" t="s">
        <v>7</v>
      </c>
      <c r="W17" s="1187"/>
      <c r="X17" s="521" t="s">
        <v>464</v>
      </c>
      <c r="Y17" s="520" t="s">
        <v>8</v>
      </c>
      <c r="Z17" s="1185"/>
      <c r="AA17" s="1185"/>
      <c r="AB17" s="1183"/>
      <c r="AC17" s="1183"/>
      <c r="AD17" s="1181"/>
      <c r="AE17" s="1173"/>
      <c r="AF17" s="1209"/>
      <c r="AG17" s="1171"/>
      <c r="AH17" s="1301"/>
      <c r="AI17" s="1302"/>
    </row>
    <row r="18" spans="2:35" ht="38.25" x14ac:dyDescent="0.25">
      <c r="B18" s="1276" t="s">
        <v>463</v>
      </c>
      <c r="C18" s="1279" t="s">
        <v>462</v>
      </c>
      <c r="D18" s="1205" t="s">
        <v>461</v>
      </c>
      <c r="E18" s="1205" t="s">
        <v>460</v>
      </c>
      <c r="F18" s="1205" t="s">
        <v>459</v>
      </c>
      <c r="G18" s="1174" t="s">
        <v>458</v>
      </c>
      <c r="H18" s="1177" t="s">
        <v>457</v>
      </c>
      <c r="I18" s="175"/>
      <c r="J18" s="175"/>
      <c r="K18" s="246" t="s">
        <v>456</v>
      </c>
      <c r="L18" s="212" t="s">
        <v>26</v>
      </c>
      <c r="M18" s="212">
        <v>7</v>
      </c>
      <c r="N18" s="509" t="s">
        <v>55</v>
      </c>
      <c r="O18" s="516">
        <f>49518000-49518000</f>
        <v>0</v>
      </c>
      <c r="P18" s="515"/>
      <c r="Q18" s="515">
        <f>+O18+P18</f>
        <v>0</v>
      </c>
      <c r="R18" s="471"/>
      <c r="S18" s="471"/>
      <c r="T18" s="471"/>
      <c r="U18" s="471"/>
      <c r="V18" s="508"/>
      <c r="W18" s="507">
        <f>+Q18+V18</f>
        <v>0</v>
      </c>
      <c r="X18" s="518"/>
      <c r="Y18" s="50"/>
      <c r="Z18" s="50"/>
      <c r="AA18" s="50"/>
      <c r="AB18" s="50"/>
      <c r="AC18" s="50"/>
      <c r="AD18" s="103"/>
      <c r="AF18" s="50"/>
      <c r="AG18" s="49"/>
      <c r="AH18" s="3">
        <v>0.03</v>
      </c>
    </row>
    <row r="19" spans="2:35" ht="25.5" x14ac:dyDescent="0.25">
      <c r="B19" s="1220"/>
      <c r="C19" s="1280"/>
      <c r="D19" s="1206"/>
      <c r="E19" s="1206"/>
      <c r="F19" s="1206"/>
      <c r="G19" s="1175"/>
      <c r="H19" s="1178"/>
      <c r="I19" s="519"/>
      <c r="J19" s="97"/>
      <c r="K19" s="246" t="s">
        <v>455</v>
      </c>
      <c r="L19" s="212" t="s">
        <v>26</v>
      </c>
      <c r="M19" s="212">
        <v>7</v>
      </c>
      <c r="N19" s="509" t="s">
        <v>55</v>
      </c>
      <c r="O19" s="516">
        <f>33012000-33012000</f>
        <v>0</v>
      </c>
      <c r="P19" s="515"/>
      <c r="Q19" s="515">
        <f>+O19+P19</f>
        <v>0</v>
      </c>
      <c r="R19" s="471"/>
      <c r="S19" s="471"/>
      <c r="T19" s="471"/>
      <c r="U19" s="471"/>
      <c r="V19" s="508"/>
      <c r="W19" s="507">
        <f>+Q19+V19</f>
        <v>0</v>
      </c>
      <c r="X19" s="518"/>
      <c r="Y19" s="50"/>
      <c r="Z19" s="50"/>
      <c r="AA19" s="50"/>
      <c r="AB19" s="50"/>
      <c r="AC19" s="50"/>
      <c r="AD19" s="103"/>
      <c r="AF19" s="50"/>
      <c r="AG19" s="49"/>
    </row>
    <row r="20" spans="2:35" ht="25.5" x14ac:dyDescent="0.25">
      <c r="B20" s="1220"/>
      <c r="C20" s="1280"/>
      <c r="D20" s="1206"/>
      <c r="E20" s="1206"/>
      <c r="F20" s="1206"/>
      <c r="G20" s="1175"/>
      <c r="H20" s="1178"/>
      <c r="I20" s="519"/>
      <c r="J20" s="97"/>
      <c r="K20" s="246" t="s">
        <v>454</v>
      </c>
      <c r="L20" s="212" t="s">
        <v>26</v>
      </c>
      <c r="M20" s="212">
        <v>7</v>
      </c>
      <c r="N20" s="509" t="s">
        <v>55</v>
      </c>
      <c r="O20" s="516">
        <f>24759000-24759000</f>
        <v>0</v>
      </c>
      <c r="P20" s="515"/>
      <c r="Q20" s="515">
        <f>+O20+P20</f>
        <v>0</v>
      </c>
      <c r="R20" s="471"/>
      <c r="S20" s="471"/>
      <c r="T20" s="471"/>
      <c r="U20" s="471"/>
      <c r="V20" s="508"/>
      <c r="W20" s="507">
        <f>+Q20+V20</f>
        <v>0</v>
      </c>
      <c r="X20" s="518"/>
      <c r="Y20" s="50"/>
      <c r="Z20" s="50"/>
      <c r="AA20" s="50"/>
      <c r="AB20" s="50"/>
      <c r="AC20" s="50"/>
      <c r="AD20" s="103"/>
      <c r="AF20" s="50"/>
      <c r="AG20" s="49"/>
    </row>
    <row r="21" spans="2:35" ht="25.5" x14ac:dyDescent="0.25">
      <c r="B21" s="1220"/>
      <c r="C21" s="1280"/>
      <c r="D21" s="1206"/>
      <c r="E21" s="1206"/>
      <c r="F21" s="1206"/>
      <c r="G21" s="1175"/>
      <c r="H21" s="1178"/>
      <c r="I21" s="519"/>
      <c r="J21" s="97"/>
      <c r="K21" s="246" t="s">
        <v>178</v>
      </c>
      <c r="L21" s="212" t="s">
        <v>26</v>
      </c>
      <c r="M21" s="212">
        <v>7</v>
      </c>
      <c r="N21" s="509" t="s">
        <v>55</v>
      </c>
      <c r="O21" s="516">
        <f>2535500-2535500</f>
        <v>0</v>
      </c>
      <c r="P21" s="515"/>
      <c r="Q21" s="515">
        <f>+O21+P21</f>
        <v>0</v>
      </c>
      <c r="R21" s="471"/>
      <c r="S21" s="471"/>
      <c r="T21" s="471"/>
      <c r="U21" s="471"/>
      <c r="V21" s="508"/>
      <c r="W21" s="507">
        <f>+Q21+V21</f>
        <v>0</v>
      </c>
      <c r="X21" s="518"/>
      <c r="Y21" s="50"/>
      <c r="Z21" s="50"/>
      <c r="AA21" s="50"/>
      <c r="AB21" s="50"/>
      <c r="AC21" s="50"/>
      <c r="AD21" s="103"/>
      <c r="AF21" s="291"/>
      <c r="AG21" s="49"/>
    </row>
    <row r="22" spans="2:35" ht="42.75" customHeight="1" x14ac:dyDescent="0.25">
      <c r="B22" s="1220"/>
      <c r="C22" s="1280"/>
      <c r="D22" s="1206"/>
      <c r="E22" s="1206"/>
      <c r="F22" s="1206"/>
      <c r="G22" s="1176"/>
      <c r="H22" s="1179"/>
      <c r="I22" s="517" t="s">
        <v>28</v>
      </c>
      <c r="J22" s="517">
        <v>314</v>
      </c>
      <c r="K22" s="246" t="s">
        <v>453</v>
      </c>
      <c r="L22" s="212" t="s">
        <v>39</v>
      </c>
      <c r="M22" s="212">
        <v>8</v>
      </c>
      <c r="N22" s="509" t="s">
        <v>55</v>
      </c>
      <c r="O22" s="516">
        <v>109824500</v>
      </c>
      <c r="P22" s="515"/>
      <c r="Q22" s="515"/>
      <c r="R22" s="471"/>
      <c r="S22" s="471"/>
      <c r="T22" s="471"/>
      <c r="U22" s="471"/>
      <c r="V22" s="508"/>
      <c r="W22" s="507">
        <f>+O22+R22</f>
        <v>109824500</v>
      </c>
      <c r="X22" s="514">
        <v>109824500</v>
      </c>
      <c r="Y22" s="50"/>
      <c r="Z22" s="88">
        <f t="shared" ref="Z22:Z85" si="0">+X22+Y22</f>
        <v>109824500</v>
      </c>
      <c r="AA22" s="87">
        <v>41554</v>
      </c>
      <c r="AB22" s="50">
        <v>116</v>
      </c>
      <c r="AC22" s="50" t="s">
        <v>166</v>
      </c>
      <c r="AD22" s="103"/>
      <c r="AE22" s="50"/>
      <c r="AF22" s="291"/>
      <c r="AG22" s="49"/>
      <c r="AH22" s="3">
        <f>+AI22/Z22</f>
        <v>0</v>
      </c>
      <c r="AI22" s="2">
        <v>0</v>
      </c>
    </row>
    <row r="23" spans="2:35" ht="22.5" customHeight="1" x14ac:dyDescent="0.25">
      <c r="B23" s="1220"/>
      <c r="C23" s="1280"/>
      <c r="D23" s="1206"/>
      <c r="E23" s="1206"/>
      <c r="F23" s="1206"/>
      <c r="G23" s="1188" t="s">
        <v>23</v>
      </c>
      <c r="H23" s="1188"/>
      <c r="I23" s="1188"/>
      <c r="J23" s="1188"/>
      <c r="K23" s="1188"/>
      <c r="L23" s="1188"/>
      <c r="M23" s="1188"/>
      <c r="N23" s="1188"/>
      <c r="O23" s="144">
        <f t="shared" ref="O23:W23" si="1">SUM(O18:O22)</f>
        <v>109824500</v>
      </c>
      <c r="P23" s="144">
        <f t="shared" si="1"/>
        <v>0</v>
      </c>
      <c r="Q23" s="144">
        <f t="shared" si="1"/>
        <v>0</v>
      </c>
      <c r="R23" s="144">
        <f t="shared" si="1"/>
        <v>0</v>
      </c>
      <c r="S23" s="144">
        <f t="shared" si="1"/>
        <v>0</v>
      </c>
      <c r="T23" s="144">
        <f t="shared" si="1"/>
        <v>0</v>
      </c>
      <c r="U23" s="144">
        <f t="shared" si="1"/>
        <v>0</v>
      </c>
      <c r="V23" s="144">
        <f t="shared" si="1"/>
        <v>0</v>
      </c>
      <c r="W23" s="144">
        <f t="shared" si="1"/>
        <v>109824500</v>
      </c>
      <c r="X23" s="144">
        <f>+X22</f>
        <v>109824500</v>
      </c>
      <c r="Y23" s="144">
        <f>+Y22</f>
        <v>0</v>
      </c>
      <c r="Z23" s="88">
        <f t="shared" si="0"/>
        <v>109824500</v>
      </c>
      <c r="AA23" s="144"/>
      <c r="AB23" s="78"/>
      <c r="AC23" s="78"/>
      <c r="AD23" s="79">
        <f>+Z23/W23</f>
        <v>1</v>
      </c>
      <c r="AE23" s="78"/>
      <c r="AF23" s="79"/>
      <c r="AG23" s="226"/>
    </row>
    <row r="24" spans="2:35" ht="44.25" customHeight="1" x14ac:dyDescent="0.25">
      <c r="B24" s="1220"/>
      <c r="C24" s="1280"/>
      <c r="D24" s="1206"/>
      <c r="E24" s="1206"/>
      <c r="F24" s="1206"/>
      <c r="G24" s="470" t="s">
        <v>452</v>
      </c>
      <c r="H24" s="513" t="s">
        <v>443</v>
      </c>
      <c r="I24" s="512" t="s">
        <v>28</v>
      </c>
      <c r="J24" s="511">
        <v>185</v>
      </c>
      <c r="K24" s="345" t="s">
        <v>451</v>
      </c>
      <c r="L24" s="510" t="s">
        <v>35</v>
      </c>
      <c r="M24" s="212">
        <v>8</v>
      </c>
      <c r="N24" s="212" t="s">
        <v>55</v>
      </c>
      <c r="O24" s="281">
        <v>100000000</v>
      </c>
      <c r="P24" s="471"/>
      <c r="Q24" s="471">
        <f>+O24+P24</f>
        <v>100000000</v>
      </c>
      <c r="R24" s="471"/>
      <c r="S24" s="471"/>
      <c r="T24" s="471"/>
      <c r="U24" s="131"/>
      <c r="V24" s="92"/>
      <c r="W24" s="93">
        <f>+Q24+V24</f>
        <v>100000000</v>
      </c>
      <c r="X24" s="137">
        <v>100000000</v>
      </c>
      <c r="Y24" s="136"/>
      <c r="Z24" s="88">
        <f t="shared" si="0"/>
        <v>100000000</v>
      </c>
      <c r="AA24" s="87">
        <v>41427</v>
      </c>
      <c r="AB24" s="50">
        <v>63</v>
      </c>
      <c r="AC24" s="86" t="s">
        <v>450</v>
      </c>
      <c r="AD24" s="431"/>
      <c r="AE24" s="136"/>
      <c r="AF24" s="50"/>
      <c r="AG24" s="49"/>
      <c r="AH24" s="3">
        <f>+AI24/Z24</f>
        <v>0.3</v>
      </c>
      <c r="AI24" s="2">
        <v>30000000</v>
      </c>
    </row>
    <row r="25" spans="2:35" ht="17.25" customHeight="1" x14ac:dyDescent="0.25">
      <c r="B25" s="1220"/>
      <c r="C25" s="1280"/>
      <c r="D25" s="1206"/>
      <c r="E25" s="1206"/>
      <c r="F25" s="1206"/>
      <c r="G25" s="1188" t="s">
        <v>23</v>
      </c>
      <c r="H25" s="1188"/>
      <c r="I25" s="1188"/>
      <c r="J25" s="1188"/>
      <c r="K25" s="1188"/>
      <c r="L25" s="1188"/>
      <c r="M25" s="1188"/>
      <c r="N25" s="1188"/>
      <c r="O25" s="144">
        <f>+O24</f>
        <v>100000000</v>
      </c>
      <c r="P25" s="144">
        <f>+P24</f>
        <v>0</v>
      </c>
      <c r="Q25" s="144">
        <f>+Q24</f>
        <v>100000000</v>
      </c>
      <c r="R25" s="144">
        <f>+R24</f>
        <v>0</v>
      </c>
      <c r="S25" s="144" t="e">
        <f>SUM(#REF!)</f>
        <v>#REF!</v>
      </c>
      <c r="T25" s="144"/>
      <c r="U25" s="144" t="e">
        <f>SUM(#REF!)</f>
        <v>#REF!</v>
      </c>
      <c r="V25" s="145" t="e">
        <f>SUM(#REF!)</f>
        <v>#REF!</v>
      </c>
      <c r="W25" s="82">
        <f>+W24</f>
        <v>100000000</v>
      </c>
      <c r="X25" s="144">
        <f>+X24</f>
        <v>100000000</v>
      </c>
      <c r="Y25" s="144">
        <f>+Y24</f>
        <v>0</v>
      </c>
      <c r="Z25" s="88">
        <f t="shared" si="0"/>
        <v>100000000</v>
      </c>
      <c r="AA25" s="144"/>
      <c r="AB25" s="144"/>
      <c r="AC25" s="144"/>
      <c r="AD25" s="79">
        <f>+Z25/W25</f>
        <v>1</v>
      </c>
      <c r="AE25" s="144"/>
      <c r="AF25" s="79"/>
      <c r="AG25" s="145"/>
    </row>
    <row r="26" spans="2:35" ht="42.75" customHeight="1" x14ac:dyDescent="0.25">
      <c r="B26" s="1220"/>
      <c r="C26" s="1280"/>
      <c r="D26" s="1206"/>
      <c r="E26" s="1206"/>
      <c r="F26" s="1206"/>
      <c r="G26" s="1174" t="s">
        <v>449</v>
      </c>
      <c r="H26" s="1198" t="s">
        <v>443</v>
      </c>
      <c r="I26" s="509" t="s">
        <v>28</v>
      </c>
      <c r="J26" s="509">
        <v>186</v>
      </c>
      <c r="K26" s="246" t="s">
        <v>448</v>
      </c>
      <c r="L26" s="505" t="s">
        <v>121</v>
      </c>
      <c r="M26" s="212">
        <v>7</v>
      </c>
      <c r="N26" s="509" t="s">
        <v>55</v>
      </c>
      <c r="O26" s="281">
        <v>28885500</v>
      </c>
      <c r="P26" s="471"/>
      <c r="Q26" s="471">
        <f>+O26+P26</f>
        <v>28885500</v>
      </c>
      <c r="R26" s="471"/>
      <c r="S26" s="471"/>
      <c r="T26" s="471"/>
      <c r="U26" s="471"/>
      <c r="V26" s="508"/>
      <c r="W26" s="507">
        <f>+Q26+V26</f>
        <v>28885500</v>
      </c>
      <c r="X26" s="137">
        <v>28885500</v>
      </c>
      <c r="Y26" s="136"/>
      <c r="Z26" s="88">
        <f t="shared" si="0"/>
        <v>28885500</v>
      </c>
      <c r="AA26" s="87">
        <v>41351</v>
      </c>
      <c r="AB26" s="50">
        <v>28</v>
      </c>
      <c r="AC26" s="50" t="s">
        <v>447</v>
      </c>
      <c r="AD26" s="431"/>
      <c r="AE26" s="50"/>
      <c r="AF26" s="50"/>
      <c r="AG26" s="49"/>
      <c r="AH26" s="3">
        <f>+AI26/Z26</f>
        <v>0.3</v>
      </c>
      <c r="AI26" s="2">
        <v>8665650</v>
      </c>
    </row>
    <row r="27" spans="2:35" ht="66.75" customHeight="1" x14ac:dyDescent="0.25">
      <c r="B27" s="1220"/>
      <c r="C27" s="1280"/>
      <c r="D27" s="1206"/>
      <c r="E27" s="1206"/>
      <c r="F27" s="1206"/>
      <c r="G27" s="1176"/>
      <c r="H27" s="1199"/>
      <c r="I27" s="509" t="s">
        <v>28</v>
      </c>
      <c r="J27" s="509">
        <v>187</v>
      </c>
      <c r="K27" s="506" t="s">
        <v>446</v>
      </c>
      <c r="L27" s="505" t="s">
        <v>121</v>
      </c>
      <c r="M27" s="212">
        <v>7</v>
      </c>
      <c r="N27" s="509" t="s">
        <v>55</v>
      </c>
      <c r="O27" s="281">
        <v>14148000</v>
      </c>
      <c r="P27" s="471"/>
      <c r="Q27" s="471">
        <f>+O27+P27</f>
        <v>14148000</v>
      </c>
      <c r="R27" s="471"/>
      <c r="S27" s="471"/>
      <c r="T27" s="471"/>
      <c r="U27" s="471"/>
      <c r="V27" s="508"/>
      <c r="W27" s="507">
        <f>+Q27+V27</f>
        <v>14148000</v>
      </c>
      <c r="X27" s="137">
        <v>14148000</v>
      </c>
      <c r="Y27" s="136"/>
      <c r="Z27" s="88">
        <f t="shared" si="0"/>
        <v>14148000</v>
      </c>
      <c r="AA27" s="87">
        <v>41351</v>
      </c>
      <c r="AB27" s="50">
        <v>29</v>
      </c>
      <c r="AC27" s="50" t="s">
        <v>445</v>
      </c>
      <c r="AD27" s="431"/>
      <c r="AE27" s="50"/>
      <c r="AF27" s="50"/>
      <c r="AG27" s="49"/>
      <c r="AH27" s="3">
        <f>+AI27/Z27</f>
        <v>0</v>
      </c>
      <c r="AI27" s="2">
        <v>0</v>
      </c>
    </row>
    <row r="28" spans="2:35" x14ac:dyDescent="0.25">
      <c r="B28" s="1220"/>
      <c r="C28" s="1280"/>
      <c r="D28" s="1206"/>
      <c r="E28" s="1206"/>
      <c r="F28" s="1207"/>
      <c r="G28" s="1188" t="s">
        <v>23</v>
      </c>
      <c r="H28" s="1188"/>
      <c r="I28" s="1188"/>
      <c r="J28" s="1188"/>
      <c r="K28" s="1188"/>
      <c r="L28" s="1188"/>
      <c r="M28" s="1188"/>
      <c r="N28" s="1188"/>
      <c r="O28" s="144">
        <f t="shared" ref="O28:W28" si="2">+O26+O27</f>
        <v>43033500</v>
      </c>
      <c r="P28" s="144">
        <f t="shared" si="2"/>
        <v>0</v>
      </c>
      <c r="Q28" s="144">
        <f t="shared" si="2"/>
        <v>43033500</v>
      </c>
      <c r="R28" s="144">
        <f t="shared" si="2"/>
        <v>0</v>
      </c>
      <c r="S28" s="144">
        <f t="shared" si="2"/>
        <v>0</v>
      </c>
      <c r="T28" s="144">
        <f t="shared" si="2"/>
        <v>0</v>
      </c>
      <c r="U28" s="144">
        <f t="shared" si="2"/>
        <v>0</v>
      </c>
      <c r="V28" s="144">
        <f t="shared" si="2"/>
        <v>0</v>
      </c>
      <c r="W28" s="144">
        <f t="shared" si="2"/>
        <v>43033500</v>
      </c>
      <c r="X28" s="297">
        <f>SUM(X26:X27)</f>
        <v>43033500</v>
      </c>
      <c r="Y28" s="297">
        <f>+Y26+Y27</f>
        <v>0</v>
      </c>
      <c r="Z28" s="88">
        <f t="shared" si="0"/>
        <v>43033500</v>
      </c>
      <c r="AA28" s="78"/>
      <c r="AB28" s="78"/>
      <c r="AC28" s="78"/>
      <c r="AD28" s="79">
        <f>+Z28/W28</f>
        <v>1</v>
      </c>
      <c r="AE28" s="78"/>
      <c r="AF28" s="79"/>
      <c r="AG28" s="226"/>
    </row>
    <row r="29" spans="2:35" ht="64.5" customHeight="1" x14ac:dyDescent="0.25">
      <c r="B29" s="1202" t="str">
        <f>+B18</f>
        <v>Proyecto No. 702 : Investigación e innovación para la construcción de conocimiento educativo y pedagógico.</v>
      </c>
      <c r="C29" s="1277" t="str">
        <f>+C18</f>
        <v>ESCUELA, CURRICULO Y PEDAOGÍA</v>
      </c>
      <c r="D29" s="1219" t="str">
        <f>+D18</f>
        <v>Desarrollar 23 estudios 
en Escuela, currículo y pedagogía</v>
      </c>
      <c r="E29" s="1219" t="str">
        <f>+E18</f>
        <v>Desarrollar 7 estudios en Escuela Curriculo y Pedagogía en el año 2013 y terminar el 0,80% del estudio del año 2012.</v>
      </c>
      <c r="F29" s="1288" t="str">
        <f>+F18</f>
        <v>Porcentaje de avance de los Estudios desarrollados en Escuela, currículo y pedagogía.</v>
      </c>
      <c r="G29" s="1174" t="s">
        <v>444</v>
      </c>
      <c r="H29" s="1212" t="s">
        <v>443</v>
      </c>
      <c r="I29" s="95" t="s">
        <v>28</v>
      </c>
      <c r="J29" s="95">
        <v>188</v>
      </c>
      <c r="K29" s="506" t="s">
        <v>442</v>
      </c>
      <c r="L29" s="505" t="s">
        <v>121</v>
      </c>
      <c r="M29" s="95">
        <v>6</v>
      </c>
      <c r="N29" s="95" t="s">
        <v>55</v>
      </c>
      <c r="O29" s="504">
        <v>35370000</v>
      </c>
      <c r="P29" s="503"/>
      <c r="Q29" s="471">
        <f t="shared" ref="Q29:Q36" si="3">+O29+P29</f>
        <v>35370000</v>
      </c>
      <c r="R29" s="502"/>
      <c r="S29" s="502"/>
      <c r="T29" s="502"/>
      <c r="U29" s="501"/>
      <c r="V29" s="500"/>
      <c r="W29" s="91">
        <f t="shared" ref="W29:W36" si="4">+Q29+V29</f>
        <v>35370000</v>
      </c>
      <c r="X29" s="137">
        <v>35370000</v>
      </c>
      <c r="Y29" s="136"/>
      <c r="Z29" s="88">
        <f t="shared" si="0"/>
        <v>35370000</v>
      </c>
      <c r="AA29" s="87">
        <v>41347</v>
      </c>
      <c r="AB29" s="50">
        <v>19</v>
      </c>
      <c r="AC29" s="86" t="s">
        <v>441</v>
      </c>
      <c r="AD29" s="431"/>
      <c r="AE29" s="50"/>
      <c r="AF29" s="50"/>
      <c r="AG29" s="49"/>
      <c r="AH29" s="3">
        <f t="shared" ref="AH29:AH36" si="5">+AI29/Z29</f>
        <v>0</v>
      </c>
      <c r="AI29" s="2">
        <v>0</v>
      </c>
    </row>
    <row r="30" spans="2:35" ht="51" x14ac:dyDescent="0.25">
      <c r="B30" s="1202"/>
      <c r="C30" s="1277"/>
      <c r="D30" s="1219"/>
      <c r="E30" s="1219"/>
      <c r="F30" s="1288"/>
      <c r="G30" s="1175"/>
      <c r="H30" s="1212"/>
      <c r="I30" s="95" t="s">
        <v>28</v>
      </c>
      <c r="J30" s="95">
        <v>189</v>
      </c>
      <c r="K30" s="216" t="s">
        <v>440</v>
      </c>
      <c r="L30" s="505" t="s">
        <v>121</v>
      </c>
      <c r="M30" s="95">
        <v>6</v>
      </c>
      <c r="N30" s="95" t="s">
        <v>55</v>
      </c>
      <c r="O30" s="504">
        <v>24759000</v>
      </c>
      <c r="P30" s="503"/>
      <c r="Q30" s="471">
        <f t="shared" si="3"/>
        <v>24759000</v>
      </c>
      <c r="R30" s="502"/>
      <c r="S30" s="502"/>
      <c r="T30" s="502"/>
      <c r="U30" s="501"/>
      <c r="V30" s="500"/>
      <c r="W30" s="91">
        <f t="shared" si="4"/>
        <v>24759000</v>
      </c>
      <c r="X30" s="137">
        <v>24759000</v>
      </c>
      <c r="Y30" s="136"/>
      <c r="Z30" s="88">
        <f t="shared" si="0"/>
        <v>24759000</v>
      </c>
      <c r="AA30" s="87">
        <v>41348</v>
      </c>
      <c r="AB30" s="50">
        <v>24</v>
      </c>
      <c r="AC30" s="50" t="s">
        <v>439</v>
      </c>
      <c r="AD30" s="431"/>
      <c r="AE30" s="50"/>
      <c r="AF30" s="50"/>
      <c r="AG30" s="49"/>
      <c r="AH30" s="3">
        <f t="shared" si="5"/>
        <v>0</v>
      </c>
      <c r="AI30" s="2">
        <v>0</v>
      </c>
    </row>
    <row r="31" spans="2:35" ht="48" customHeight="1" x14ac:dyDescent="0.25">
      <c r="B31" s="1202"/>
      <c r="C31" s="1277"/>
      <c r="D31" s="1219"/>
      <c r="E31" s="1219"/>
      <c r="F31" s="1288"/>
      <c r="G31" s="1175"/>
      <c r="H31" s="1212"/>
      <c r="I31" s="95" t="s">
        <v>28</v>
      </c>
      <c r="J31" s="95">
        <v>190</v>
      </c>
      <c r="K31" s="216" t="s">
        <v>438</v>
      </c>
      <c r="L31" s="505" t="s">
        <v>121</v>
      </c>
      <c r="M31" s="95">
        <v>6</v>
      </c>
      <c r="N31" s="95" t="s">
        <v>55</v>
      </c>
      <c r="O31" s="504">
        <v>24759000</v>
      </c>
      <c r="P31" s="503"/>
      <c r="Q31" s="471">
        <f t="shared" si="3"/>
        <v>24759000</v>
      </c>
      <c r="R31" s="502"/>
      <c r="S31" s="502"/>
      <c r="T31" s="502"/>
      <c r="U31" s="501"/>
      <c r="V31" s="500"/>
      <c r="W31" s="91">
        <f t="shared" si="4"/>
        <v>24759000</v>
      </c>
      <c r="X31" s="137">
        <v>24759000</v>
      </c>
      <c r="Y31" s="136"/>
      <c r="Z31" s="88">
        <f t="shared" si="0"/>
        <v>24759000</v>
      </c>
      <c r="AA31" s="87">
        <v>41347</v>
      </c>
      <c r="AB31" s="50">
        <v>18</v>
      </c>
      <c r="AC31" s="86" t="s">
        <v>437</v>
      </c>
      <c r="AD31" s="431"/>
      <c r="AE31" s="50"/>
      <c r="AF31" s="50"/>
      <c r="AG31" s="49"/>
      <c r="AH31" s="3">
        <f t="shared" si="5"/>
        <v>0</v>
      </c>
      <c r="AI31" s="2">
        <v>0</v>
      </c>
    </row>
    <row r="32" spans="2:35" ht="63.75" x14ac:dyDescent="0.25">
      <c r="B32" s="1202"/>
      <c r="C32" s="1277"/>
      <c r="D32" s="1219"/>
      <c r="E32" s="1219"/>
      <c r="F32" s="1288"/>
      <c r="G32" s="1175"/>
      <c r="H32" s="1212"/>
      <c r="I32" s="95" t="s">
        <v>28</v>
      </c>
      <c r="J32" s="95">
        <v>191</v>
      </c>
      <c r="K32" s="506" t="s">
        <v>436</v>
      </c>
      <c r="L32" s="505" t="s">
        <v>121</v>
      </c>
      <c r="M32" s="95">
        <v>6</v>
      </c>
      <c r="N32" s="95" t="s">
        <v>55</v>
      </c>
      <c r="O32" s="504">
        <v>24759000</v>
      </c>
      <c r="P32" s="503"/>
      <c r="Q32" s="471">
        <f t="shared" si="3"/>
        <v>24759000</v>
      </c>
      <c r="R32" s="502"/>
      <c r="S32" s="502"/>
      <c r="T32" s="502"/>
      <c r="U32" s="501"/>
      <c r="V32" s="500"/>
      <c r="W32" s="91">
        <f t="shared" si="4"/>
        <v>24759000</v>
      </c>
      <c r="X32" s="137">
        <v>24759000</v>
      </c>
      <c r="Y32" s="136"/>
      <c r="Z32" s="88">
        <f t="shared" si="0"/>
        <v>24759000</v>
      </c>
      <c r="AA32" s="87">
        <v>41347</v>
      </c>
      <c r="AB32" s="50">
        <v>21</v>
      </c>
      <c r="AC32" s="86" t="s">
        <v>435</v>
      </c>
      <c r="AD32" s="431"/>
      <c r="AE32" s="50"/>
      <c r="AF32" s="50"/>
      <c r="AG32" s="49"/>
      <c r="AH32" s="3">
        <f t="shared" si="5"/>
        <v>0</v>
      </c>
      <c r="AI32" s="2">
        <v>0</v>
      </c>
    </row>
    <row r="33" spans="2:35" ht="66" customHeight="1" x14ac:dyDescent="0.25">
      <c r="B33" s="1202"/>
      <c r="C33" s="1277"/>
      <c r="D33" s="1219"/>
      <c r="E33" s="1219"/>
      <c r="F33" s="1288"/>
      <c r="G33" s="1175"/>
      <c r="H33" s="1212"/>
      <c r="I33" s="154" t="s">
        <v>28</v>
      </c>
      <c r="J33" s="95">
        <v>192</v>
      </c>
      <c r="K33" s="216" t="s">
        <v>434</v>
      </c>
      <c r="L33" s="505" t="s">
        <v>121</v>
      </c>
      <c r="M33" s="95">
        <v>6</v>
      </c>
      <c r="N33" s="95" t="s">
        <v>55</v>
      </c>
      <c r="O33" s="504">
        <v>24759000</v>
      </c>
      <c r="P33" s="503"/>
      <c r="Q33" s="471">
        <f t="shared" si="3"/>
        <v>24759000</v>
      </c>
      <c r="R33" s="502"/>
      <c r="S33" s="502"/>
      <c r="T33" s="502"/>
      <c r="U33" s="501"/>
      <c r="V33" s="500"/>
      <c r="W33" s="91">
        <f t="shared" si="4"/>
        <v>24759000</v>
      </c>
      <c r="X33" s="137">
        <v>24759000</v>
      </c>
      <c r="Y33" s="136"/>
      <c r="Z33" s="88">
        <f t="shared" si="0"/>
        <v>24759000</v>
      </c>
      <c r="AA33" s="87">
        <v>41347</v>
      </c>
      <c r="AB33" s="50">
        <v>20</v>
      </c>
      <c r="AC33" s="86" t="s">
        <v>433</v>
      </c>
      <c r="AD33" s="431"/>
      <c r="AE33" s="50"/>
      <c r="AF33" s="50"/>
      <c r="AG33" s="49"/>
      <c r="AH33" s="3">
        <f t="shared" si="5"/>
        <v>0</v>
      </c>
      <c r="AI33" s="2">
        <v>0</v>
      </c>
    </row>
    <row r="34" spans="2:35" ht="78" customHeight="1" x14ac:dyDescent="0.25">
      <c r="B34" s="1202"/>
      <c r="C34" s="1277"/>
      <c r="D34" s="1219"/>
      <c r="E34" s="1219"/>
      <c r="F34" s="1288"/>
      <c r="G34" s="1175"/>
      <c r="H34" s="1212"/>
      <c r="I34" s="154" t="s">
        <v>28</v>
      </c>
      <c r="J34" s="95">
        <v>200</v>
      </c>
      <c r="K34" s="506" t="s">
        <v>432</v>
      </c>
      <c r="L34" s="505" t="s">
        <v>121</v>
      </c>
      <c r="M34" s="95">
        <v>6</v>
      </c>
      <c r="N34" s="95" t="s">
        <v>55</v>
      </c>
      <c r="O34" s="504">
        <v>21222000</v>
      </c>
      <c r="P34" s="503"/>
      <c r="Q34" s="471">
        <f t="shared" si="3"/>
        <v>21222000</v>
      </c>
      <c r="R34" s="502"/>
      <c r="S34" s="502"/>
      <c r="T34" s="502"/>
      <c r="U34" s="501"/>
      <c r="V34" s="500"/>
      <c r="W34" s="91">
        <f t="shared" si="4"/>
        <v>21222000</v>
      </c>
      <c r="X34" s="137">
        <v>21222000</v>
      </c>
      <c r="Y34" s="136"/>
      <c r="Z34" s="88">
        <f t="shared" si="0"/>
        <v>21222000</v>
      </c>
      <c r="AA34" s="87">
        <v>40986</v>
      </c>
      <c r="AB34" s="50">
        <v>27</v>
      </c>
      <c r="AC34" s="50" t="s">
        <v>418</v>
      </c>
      <c r="AD34" s="431"/>
      <c r="AE34" s="50"/>
      <c r="AF34" s="50"/>
      <c r="AG34" s="49"/>
      <c r="AH34" s="3">
        <f t="shared" si="5"/>
        <v>0</v>
      </c>
      <c r="AI34" s="2">
        <v>0</v>
      </c>
    </row>
    <row r="35" spans="2:35" ht="54.75" customHeight="1" x14ac:dyDescent="0.25">
      <c r="B35" s="1202"/>
      <c r="C35" s="1277"/>
      <c r="D35" s="1219"/>
      <c r="E35" s="1219"/>
      <c r="F35" s="1288"/>
      <c r="G35" s="1175"/>
      <c r="H35" s="1212"/>
      <c r="I35" s="95" t="s">
        <v>28</v>
      </c>
      <c r="J35" s="95">
        <v>213</v>
      </c>
      <c r="K35" s="216" t="s">
        <v>431</v>
      </c>
      <c r="L35" s="505" t="s">
        <v>121</v>
      </c>
      <c r="M35" s="95">
        <v>6</v>
      </c>
      <c r="N35" s="95" t="s">
        <v>55</v>
      </c>
      <c r="O35" s="504">
        <v>7074000</v>
      </c>
      <c r="P35" s="503"/>
      <c r="Q35" s="471">
        <f t="shared" si="3"/>
        <v>7074000</v>
      </c>
      <c r="R35" s="502"/>
      <c r="S35" s="502"/>
      <c r="T35" s="502"/>
      <c r="U35" s="501"/>
      <c r="V35" s="500"/>
      <c r="W35" s="91">
        <f t="shared" si="4"/>
        <v>7074000</v>
      </c>
      <c r="X35" s="137">
        <v>7074000</v>
      </c>
      <c r="Y35" s="136"/>
      <c r="Z35" s="88">
        <f t="shared" si="0"/>
        <v>7074000</v>
      </c>
      <c r="AA35" s="87">
        <v>41348</v>
      </c>
      <c r="AB35" s="50">
        <v>22</v>
      </c>
      <c r="AC35" s="50" t="s">
        <v>430</v>
      </c>
      <c r="AD35" s="431"/>
      <c r="AE35" s="50"/>
      <c r="AF35" s="50"/>
      <c r="AG35" s="49"/>
      <c r="AH35" s="3">
        <f t="shared" si="5"/>
        <v>0</v>
      </c>
      <c r="AI35" s="2">
        <v>0</v>
      </c>
    </row>
    <row r="36" spans="2:35" ht="55.5" customHeight="1" x14ac:dyDescent="0.25">
      <c r="B36" s="1202"/>
      <c r="C36" s="1277"/>
      <c r="D36" s="1219"/>
      <c r="E36" s="1219"/>
      <c r="F36" s="1288"/>
      <c r="G36" s="1176"/>
      <c r="H36" s="1213"/>
      <c r="I36" s="95" t="s">
        <v>28</v>
      </c>
      <c r="J36" s="95">
        <v>214</v>
      </c>
      <c r="K36" s="216" t="s">
        <v>429</v>
      </c>
      <c r="L36" s="505" t="s">
        <v>121</v>
      </c>
      <c r="M36" s="95">
        <v>6</v>
      </c>
      <c r="N36" s="95" t="s">
        <v>55</v>
      </c>
      <c r="O36" s="504">
        <v>7074000</v>
      </c>
      <c r="P36" s="503"/>
      <c r="Q36" s="471">
        <f t="shared" si="3"/>
        <v>7074000</v>
      </c>
      <c r="R36" s="502"/>
      <c r="S36" s="502"/>
      <c r="T36" s="502"/>
      <c r="U36" s="501"/>
      <c r="V36" s="500"/>
      <c r="W36" s="91">
        <f t="shared" si="4"/>
        <v>7074000</v>
      </c>
      <c r="X36" s="137">
        <v>7074000</v>
      </c>
      <c r="Y36" s="136"/>
      <c r="Z36" s="88">
        <f t="shared" si="0"/>
        <v>7074000</v>
      </c>
      <c r="AA36" s="87">
        <v>41348</v>
      </c>
      <c r="AB36" s="50">
        <v>23</v>
      </c>
      <c r="AC36" s="50" t="s">
        <v>428</v>
      </c>
      <c r="AD36" s="431"/>
      <c r="AE36" s="50"/>
      <c r="AF36" s="50"/>
      <c r="AG36" s="49"/>
      <c r="AH36" s="3">
        <f t="shared" si="5"/>
        <v>0</v>
      </c>
      <c r="AI36" s="2">
        <v>0</v>
      </c>
    </row>
    <row r="37" spans="2:35" ht="24" customHeight="1" x14ac:dyDescent="0.25">
      <c r="B37" s="1202"/>
      <c r="C37" s="1277"/>
      <c r="D37" s="1219"/>
      <c r="E37" s="1219"/>
      <c r="F37" s="1288"/>
      <c r="G37" s="1192" t="s">
        <v>23</v>
      </c>
      <c r="H37" s="1193"/>
      <c r="I37" s="1240"/>
      <c r="J37" s="1240"/>
      <c r="K37" s="1240"/>
      <c r="L37" s="1240"/>
      <c r="M37" s="1240"/>
      <c r="N37" s="1194"/>
      <c r="O37" s="499">
        <f t="shared" ref="O37:V37" si="6">SUM(O29:O36)</f>
        <v>169776000</v>
      </c>
      <c r="P37" s="499">
        <f t="shared" si="6"/>
        <v>0</v>
      </c>
      <c r="Q37" s="499">
        <f t="shared" si="6"/>
        <v>169776000</v>
      </c>
      <c r="R37" s="144">
        <f t="shared" si="6"/>
        <v>0</v>
      </c>
      <c r="S37" s="499">
        <f t="shared" si="6"/>
        <v>0</v>
      </c>
      <c r="T37" s="499">
        <f t="shared" si="6"/>
        <v>0</v>
      </c>
      <c r="U37" s="499">
        <f t="shared" si="6"/>
        <v>0</v>
      </c>
      <c r="V37" s="499">
        <f t="shared" si="6"/>
        <v>0</v>
      </c>
      <c r="W37" s="499">
        <f>+O37+R37</f>
        <v>169776000</v>
      </c>
      <c r="X37" s="297">
        <f>SUM(X29:X36)</f>
        <v>169776000</v>
      </c>
      <c r="Y37" s="297">
        <f>SUM(Y29:Y36)</f>
        <v>0</v>
      </c>
      <c r="Z37" s="88">
        <f t="shared" si="0"/>
        <v>169776000</v>
      </c>
      <c r="AA37" s="78"/>
      <c r="AB37" s="78"/>
      <c r="AC37" s="78"/>
      <c r="AD37" s="79">
        <f>+Z37/W37</f>
        <v>1</v>
      </c>
      <c r="AE37" s="78"/>
      <c r="AF37" s="79"/>
      <c r="AG37" s="226"/>
    </row>
    <row r="38" spans="2:35" ht="25.5" x14ac:dyDescent="0.25">
      <c r="B38" s="1202" t="str">
        <f>+B29</f>
        <v>Proyecto No. 702 : Investigación e innovación para la construcción de conocimiento educativo y pedagógico.</v>
      </c>
      <c r="C38" s="1202" t="str">
        <f>+C29</f>
        <v>ESCUELA, CURRICULO Y PEDAOGÍA</v>
      </c>
      <c r="D38" s="1202" t="str">
        <f>+D29</f>
        <v>Desarrollar 23 estudios 
en Escuela, currículo y pedagogía</v>
      </c>
      <c r="E38" s="1202" t="str">
        <f>+E29</f>
        <v>Desarrollar 7 estudios en Escuela Curriculo y Pedagogía en el año 2013 y terminar el 0,80% del estudio del año 2012.</v>
      </c>
      <c r="F38" s="1202" t="str">
        <f>+F29</f>
        <v>Porcentaje de avance de los Estudios desarrollados en Escuela, currículo y pedagogía.</v>
      </c>
      <c r="G38" s="1175" t="s">
        <v>427</v>
      </c>
      <c r="H38" s="1212" t="s">
        <v>426</v>
      </c>
      <c r="I38" s="95"/>
      <c r="J38" s="95">
        <v>197</v>
      </c>
      <c r="K38" s="216" t="s">
        <v>425</v>
      </c>
      <c r="L38" s="212" t="s">
        <v>35</v>
      </c>
      <c r="M38" s="212">
        <v>7</v>
      </c>
      <c r="N38" s="212" t="s">
        <v>55</v>
      </c>
      <c r="O38" s="496"/>
      <c r="P38" s="495"/>
      <c r="Q38" s="494"/>
      <c r="R38" s="493">
        <v>41265000</v>
      </c>
      <c r="S38" s="498">
        <v>41265000</v>
      </c>
      <c r="T38" s="498">
        <v>41265000</v>
      </c>
      <c r="U38" s="94"/>
      <c r="V38" s="360">
        <f t="shared" ref="V38:V43" si="7">+R38+U38</f>
        <v>41265000</v>
      </c>
      <c r="W38" s="491">
        <f>+Q38+V38</f>
        <v>41265000</v>
      </c>
      <c r="X38" s="133"/>
      <c r="Y38" s="343">
        <v>41265000</v>
      </c>
      <c r="Z38" s="88">
        <f t="shared" si="0"/>
        <v>41265000</v>
      </c>
      <c r="AA38" s="87">
        <v>41379</v>
      </c>
      <c r="AB38" s="50">
        <v>38</v>
      </c>
      <c r="AC38" s="50" t="s">
        <v>424</v>
      </c>
      <c r="AD38" s="431"/>
      <c r="AE38" s="86" t="s">
        <v>230</v>
      </c>
      <c r="AF38" s="291">
        <f>+R38</f>
        <v>41265000</v>
      </c>
      <c r="AG38" s="489">
        <f>+AF38</f>
        <v>41265000</v>
      </c>
      <c r="AH38" s="3">
        <f>+AI38/Z38</f>
        <v>0.4</v>
      </c>
      <c r="AI38" s="2">
        <v>16506000</v>
      </c>
    </row>
    <row r="39" spans="2:35" ht="25.5" x14ac:dyDescent="0.25">
      <c r="B39" s="1202"/>
      <c r="C39" s="1202"/>
      <c r="D39" s="1202"/>
      <c r="E39" s="1202"/>
      <c r="F39" s="1202"/>
      <c r="G39" s="1175"/>
      <c r="H39" s="1212"/>
      <c r="I39" s="95"/>
      <c r="J39" s="95">
        <v>198</v>
      </c>
      <c r="K39" s="216" t="s">
        <v>423</v>
      </c>
      <c r="L39" s="212" t="s">
        <v>35</v>
      </c>
      <c r="M39" s="212">
        <v>7</v>
      </c>
      <c r="N39" s="212" t="s">
        <v>55</v>
      </c>
      <c r="O39" s="496"/>
      <c r="P39" s="495"/>
      <c r="Q39" s="494"/>
      <c r="R39" s="493">
        <v>24759000</v>
      </c>
      <c r="S39" s="498">
        <v>24759000</v>
      </c>
      <c r="T39" s="498">
        <v>24759000</v>
      </c>
      <c r="U39" s="94"/>
      <c r="V39" s="360">
        <f t="shared" si="7"/>
        <v>24759000</v>
      </c>
      <c r="W39" s="491">
        <f>+Q39+V39</f>
        <v>24759000</v>
      </c>
      <c r="X39" s="133"/>
      <c r="Y39" s="343">
        <v>24759000</v>
      </c>
      <c r="Z39" s="88">
        <f t="shared" si="0"/>
        <v>24759000</v>
      </c>
      <c r="AA39" s="87">
        <v>41379</v>
      </c>
      <c r="AB39" s="50">
        <v>39</v>
      </c>
      <c r="AC39" s="50" t="s">
        <v>422</v>
      </c>
      <c r="AD39" s="431"/>
      <c r="AE39" s="86" t="s">
        <v>230</v>
      </c>
      <c r="AF39" s="291">
        <f>+R39</f>
        <v>24759000</v>
      </c>
      <c r="AG39" s="489">
        <f>+AF39</f>
        <v>24759000</v>
      </c>
      <c r="AH39" s="3">
        <f>+AI39/Z39</f>
        <v>0</v>
      </c>
      <c r="AI39" s="2">
        <v>0</v>
      </c>
    </row>
    <row r="40" spans="2:35" ht="25.5" x14ac:dyDescent="0.25">
      <c r="B40" s="1202"/>
      <c r="C40" s="1202"/>
      <c r="D40" s="1202"/>
      <c r="E40" s="1202"/>
      <c r="F40" s="1202"/>
      <c r="G40" s="1175"/>
      <c r="H40" s="1212"/>
      <c r="I40" s="95"/>
      <c r="J40" s="95">
        <v>199</v>
      </c>
      <c r="K40" s="216" t="s">
        <v>421</v>
      </c>
      <c r="L40" s="212" t="s">
        <v>35</v>
      </c>
      <c r="M40" s="212">
        <v>7</v>
      </c>
      <c r="N40" s="212" t="s">
        <v>55</v>
      </c>
      <c r="O40" s="496"/>
      <c r="P40" s="495"/>
      <c r="Q40" s="494"/>
      <c r="R40" s="493">
        <v>24759000</v>
      </c>
      <c r="S40" s="498">
        <v>24759000</v>
      </c>
      <c r="T40" s="498">
        <v>24759000</v>
      </c>
      <c r="U40" s="94"/>
      <c r="V40" s="360">
        <f t="shared" si="7"/>
        <v>24759000</v>
      </c>
      <c r="W40" s="491">
        <f>+Q40+V40</f>
        <v>24759000</v>
      </c>
      <c r="X40" s="133"/>
      <c r="Y40" s="343">
        <v>24759000</v>
      </c>
      <c r="Z40" s="88">
        <f t="shared" si="0"/>
        <v>24759000</v>
      </c>
      <c r="AA40" s="87">
        <v>41380</v>
      </c>
      <c r="AB40" s="50">
        <v>40</v>
      </c>
      <c r="AC40" s="50" t="s">
        <v>420</v>
      </c>
      <c r="AD40" s="431"/>
      <c r="AE40" s="86" t="s">
        <v>230</v>
      </c>
      <c r="AF40" s="291">
        <f>+R40</f>
        <v>24759000</v>
      </c>
      <c r="AG40" s="489">
        <f>+AF40</f>
        <v>24759000</v>
      </c>
      <c r="AH40" s="3">
        <f>+AI40/Z40</f>
        <v>0</v>
      </c>
      <c r="AI40" s="2">
        <v>0</v>
      </c>
    </row>
    <row r="41" spans="2:35" ht="63.75" x14ac:dyDescent="0.25">
      <c r="B41" s="1202"/>
      <c r="C41" s="1202"/>
      <c r="D41" s="1202"/>
      <c r="E41" s="1202"/>
      <c r="F41" s="1202"/>
      <c r="G41" s="1175"/>
      <c r="H41" s="1212"/>
      <c r="I41" s="95"/>
      <c r="J41" s="95">
        <v>200</v>
      </c>
      <c r="K41" s="497" t="s">
        <v>419</v>
      </c>
      <c r="L41" s="95" t="s">
        <v>35</v>
      </c>
      <c r="M41" s="95">
        <v>7</v>
      </c>
      <c r="N41" s="95" t="s">
        <v>55</v>
      </c>
      <c r="O41" s="496"/>
      <c r="P41" s="495"/>
      <c r="Q41" s="494"/>
      <c r="R41" s="493">
        <v>7074000</v>
      </c>
      <c r="S41" s="492">
        <v>7074000</v>
      </c>
      <c r="T41" s="492">
        <v>7074000</v>
      </c>
      <c r="U41" s="94"/>
      <c r="V41" s="360">
        <f t="shared" si="7"/>
        <v>7074000</v>
      </c>
      <c r="W41" s="491">
        <f>+Q41+V41</f>
        <v>7074000</v>
      </c>
      <c r="X41" s="137"/>
      <c r="Y41" s="343">
        <v>7074000</v>
      </c>
      <c r="Z41" s="88">
        <f t="shared" si="0"/>
        <v>7074000</v>
      </c>
      <c r="AA41" s="87">
        <v>41351</v>
      </c>
      <c r="AB41" s="50">
        <v>27</v>
      </c>
      <c r="AC41" s="50" t="s">
        <v>418</v>
      </c>
      <c r="AD41" s="431"/>
      <c r="AE41" s="86" t="s">
        <v>230</v>
      </c>
      <c r="AF41" s="291">
        <f>+R41</f>
        <v>7074000</v>
      </c>
      <c r="AG41" s="489">
        <f>+AF41</f>
        <v>7074000</v>
      </c>
      <c r="AH41" s="3">
        <f>+AI41/Z41</f>
        <v>0</v>
      </c>
      <c r="AI41" s="2">
        <v>0</v>
      </c>
    </row>
    <row r="42" spans="2:35" ht="38.25" x14ac:dyDescent="0.25">
      <c r="B42" s="1202"/>
      <c r="C42" s="1202"/>
      <c r="D42" s="1202"/>
      <c r="E42" s="1202"/>
      <c r="F42" s="1202"/>
      <c r="G42" s="1176"/>
      <c r="H42" s="1213"/>
      <c r="I42" s="95" t="s">
        <v>28</v>
      </c>
      <c r="J42" s="197">
        <v>319</v>
      </c>
      <c r="K42" s="290" t="s">
        <v>417</v>
      </c>
      <c r="L42" s="95" t="s">
        <v>35</v>
      </c>
      <c r="M42" s="95">
        <v>8</v>
      </c>
      <c r="N42" s="95" t="s">
        <v>55</v>
      </c>
      <c r="O42" s="496"/>
      <c r="P42" s="495"/>
      <c r="Q42" s="494"/>
      <c r="R42" s="493">
        <v>4703500</v>
      </c>
      <c r="S42" s="492">
        <v>4703500</v>
      </c>
      <c r="T42" s="492">
        <v>4703500</v>
      </c>
      <c r="U42" s="94"/>
      <c r="V42" s="360">
        <f t="shared" si="7"/>
        <v>4703500</v>
      </c>
      <c r="W42" s="491">
        <f>+Q42+V42</f>
        <v>4703500</v>
      </c>
      <c r="X42" s="137"/>
      <c r="Y42" s="136">
        <v>4703500</v>
      </c>
      <c r="Z42" s="88">
        <f t="shared" si="0"/>
        <v>4703500</v>
      </c>
      <c r="AA42" s="87">
        <v>41572</v>
      </c>
      <c r="AB42" s="50">
        <v>120</v>
      </c>
      <c r="AC42" s="50" t="s">
        <v>171</v>
      </c>
      <c r="AD42" s="431"/>
      <c r="AE42" s="490" t="s">
        <v>416</v>
      </c>
      <c r="AF42" s="291">
        <f>+R42</f>
        <v>4703500</v>
      </c>
      <c r="AG42" s="489">
        <f>+Z42</f>
        <v>4703500</v>
      </c>
      <c r="AH42" s="456">
        <f>+AI42/Z42</f>
        <v>43.875946635484212</v>
      </c>
      <c r="AI42" s="271">
        <v>206370515</v>
      </c>
    </row>
    <row r="43" spans="2:35" x14ac:dyDescent="0.25">
      <c r="B43" s="1202"/>
      <c r="C43" s="1202"/>
      <c r="D43" s="1202"/>
      <c r="E43" s="1202"/>
      <c r="F43" s="1202"/>
      <c r="G43" s="1192" t="s">
        <v>23</v>
      </c>
      <c r="H43" s="1193"/>
      <c r="I43" s="1193"/>
      <c r="J43" s="1193"/>
      <c r="K43" s="1193"/>
      <c r="L43" s="1193"/>
      <c r="M43" s="1193"/>
      <c r="N43" s="1194"/>
      <c r="O43" s="487">
        <f t="shared" ref="O43:T43" si="8">SUM(O38:O42)</f>
        <v>0</v>
      </c>
      <c r="P43" s="486">
        <f t="shared" si="8"/>
        <v>0</v>
      </c>
      <c r="Q43" s="486">
        <f t="shared" si="8"/>
        <v>0</v>
      </c>
      <c r="R43" s="486">
        <f t="shared" si="8"/>
        <v>102560500</v>
      </c>
      <c r="S43" s="486">
        <f t="shared" si="8"/>
        <v>102560500</v>
      </c>
      <c r="T43" s="486">
        <f t="shared" si="8"/>
        <v>102560500</v>
      </c>
      <c r="U43" s="487" t="e">
        <f>SUM(#REF!)</f>
        <v>#REF!</v>
      </c>
      <c r="V43" s="488" t="e">
        <f t="shared" si="7"/>
        <v>#REF!</v>
      </c>
      <c r="W43" s="487">
        <f t="shared" ref="W43:W56" si="9">+O43+R43</f>
        <v>102560500</v>
      </c>
      <c r="X43" s="486">
        <f>SUM(X38:X42)</f>
        <v>0</v>
      </c>
      <c r="Y43" s="80">
        <f>+Y38+Y39+Y40+Y41+Y42</f>
        <v>102560500</v>
      </c>
      <c r="Z43" s="88">
        <f t="shared" si="0"/>
        <v>102560500</v>
      </c>
      <c r="AA43" s="78"/>
      <c r="AB43" s="78"/>
      <c r="AC43" s="78"/>
      <c r="AD43" s="79">
        <f>+Z43/W43</f>
        <v>1</v>
      </c>
      <c r="AE43" s="277"/>
      <c r="AF43" s="485">
        <f>SUM(AF38:AF42)</f>
        <v>102560500</v>
      </c>
      <c r="AG43" s="484">
        <f>SUM(AG38:AG42)</f>
        <v>102560500</v>
      </c>
    </row>
    <row r="44" spans="2:35" ht="25.5" customHeight="1" x14ac:dyDescent="0.25">
      <c r="B44" s="1202" t="str">
        <f>+B38</f>
        <v>Proyecto No. 702 : Investigación e innovación para la construcción de conocimiento educativo y pedagógico.</v>
      </c>
      <c r="C44" s="1202" t="str">
        <f>+C38</f>
        <v>ESCUELA, CURRICULO Y PEDAOGÍA</v>
      </c>
      <c r="D44" s="1202" t="str">
        <f>+D38</f>
        <v>Desarrollar 23 estudios 
en Escuela, currículo y pedagogía</v>
      </c>
      <c r="E44" s="1202" t="str">
        <f>+E38</f>
        <v>Desarrollar 7 estudios en Escuela Curriculo y Pedagogía en el año 2013 y terminar el 0,80% del estudio del año 2012.</v>
      </c>
      <c r="F44" s="1202" t="str">
        <f>+F38</f>
        <v>Porcentaje de avance de los Estudios desarrollados en Escuela, currículo y pedagogía.</v>
      </c>
      <c r="G44" s="1174" t="s">
        <v>415</v>
      </c>
      <c r="H44" s="1211" t="s">
        <v>340</v>
      </c>
      <c r="I44" s="95"/>
      <c r="J44" s="295">
        <v>262</v>
      </c>
      <c r="K44" s="246" t="s">
        <v>414</v>
      </c>
      <c r="L44" s="483" t="s">
        <v>26</v>
      </c>
      <c r="M44" s="95">
        <v>7</v>
      </c>
      <c r="N44" s="212" t="s">
        <v>55</v>
      </c>
      <c r="O44" s="478">
        <v>53644500</v>
      </c>
      <c r="P44" s="477"/>
      <c r="Q44" s="476"/>
      <c r="R44" s="475"/>
      <c r="S44" s="94"/>
      <c r="T44" s="94"/>
      <c r="U44" s="94"/>
      <c r="V44" s="92"/>
      <c r="W44" s="91">
        <f t="shared" si="9"/>
        <v>53644500</v>
      </c>
      <c r="X44" s="137">
        <v>53644500</v>
      </c>
      <c r="Y44" s="133"/>
      <c r="Z44" s="88">
        <f t="shared" si="0"/>
        <v>53644500</v>
      </c>
      <c r="AA44" s="87">
        <v>41474</v>
      </c>
      <c r="AB44" s="50">
        <v>68</v>
      </c>
      <c r="AC44" s="50" t="s">
        <v>413</v>
      </c>
      <c r="AD44" s="431"/>
      <c r="AE44" s="50"/>
      <c r="AF44" s="136"/>
      <c r="AG44" s="342"/>
      <c r="AH44" s="3">
        <f>+AI44/Z44</f>
        <v>0.5</v>
      </c>
      <c r="AI44" s="2">
        <v>26822250</v>
      </c>
    </row>
    <row r="45" spans="2:35" ht="24" customHeight="1" x14ac:dyDescent="0.25">
      <c r="B45" s="1202"/>
      <c r="C45" s="1202"/>
      <c r="D45" s="1202"/>
      <c r="E45" s="1202"/>
      <c r="F45" s="1202"/>
      <c r="G45" s="1175"/>
      <c r="H45" s="1212"/>
      <c r="I45" s="95" t="s">
        <v>28</v>
      </c>
      <c r="J45" s="154">
        <v>263</v>
      </c>
      <c r="K45" s="246" t="s">
        <v>412</v>
      </c>
      <c r="L45" s="483" t="s">
        <v>26</v>
      </c>
      <c r="M45" s="95">
        <v>7</v>
      </c>
      <c r="N45" s="212" t="s">
        <v>55</v>
      </c>
      <c r="O45" s="478">
        <v>49518000</v>
      </c>
      <c r="P45" s="477"/>
      <c r="Q45" s="476"/>
      <c r="R45" s="475"/>
      <c r="S45" s="94"/>
      <c r="T45" s="94"/>
      <c r="U45" s="94"/>
      <c r="V45" s="92"/>
      <c r="W45" s="91">
        <f t="shared" si="9"/>
        <v>49518000</v>
      </c>
      <c r="X45" s="137">
        <v>49518000</v>
      </c>
      <c r="Y45" s="133"/>
      <c r="Z45" s="88">
        <f t="shared" si="0"/>
        <v>49518000</v>
      </c>
      <c r="AA45" s="87">
        <v>41513</v>
      </c>
      <c r="AB45" s="50">
        <v>89</v>
      </c>
      <c r="AC45" s="50" t="s">
        <v>411</v>
      </c>
      <c r="AD45" s="431"/>
      <c r="AE45" s="291"/>
      <c r="AF45" s="291"/>
      <c r="AG45" s="49"/>
      <c r="AH45" s="3">
        <f>+AI45/Z45</f>
        <v>0.6</v>
      </c>
      <c r="AI45" s="2">
        <v>29710800</v>
      </c>
    </row>
    <row r="46" spans="2:35" ht="57" customHeight="1" x14ac:dyDescent="0.25">
      <c r="B46" s="1202"/>
      <c r="C46" s="1202"/>
      <c r="D46" s="1202"/>
      <c r="E46" s="1202"/>
      <c r="F46" s="1202"/>
      <c r="G46" s="1175"/>
      <c r="H46" s="1212"/>
      <c r="I46" s="95"/>
      <c r="J46" s="154"/>
      <c r="K46" s="246" t="s">
        <v>410</v>
      </c>
      <c r="L46" s="384" t="s">
        <v>26</v>
      </c>
      <c r="M46" s="95">
        <v>4</v>
      </c>
      <c r="N46" s="212" t="s">
        <v>55</v>
      </c>
      <c r="O46" s="478">
        <f>152502250-152502250</f>
        <v>0</v>
      </c>
      <c r="P46" s="477"/>
      <c r="Q46" s="476"/>
      <c r="R46" s="475"/>
      <c r="S46" s="94"/>
      <c r="T46" s="94"/>
      <c r="U46" s="94"/>
      <c r="V46" s="92"/>
      <c r="W46" s="91">
        <f t="shared" si="9"/>
        <v>0</v>
      </c>
      <c r="X46" s="137"/>
      <c r="Y46" s="133"/>
      <c r="Z46" s="88">
        <f t="shared" si="0"/>
        <v>0</v>
      </c>
      <c r="AA46" s="50"/>
      <c r="AB46" s="50"/>
      <c r="AC46" s="50"/>
      <c r="AD46" s="431"/>
      <c r="AE46" s="50"/>
      <c r="AF46" s="50"/>
      <c r="AG46" s="49"/>
    </row>
    <row r="47" spans="2:35" ht="58.5" customHeight="1" x14ac:dyDescent="0.25">
      <c r="B47" s="1202"/>
      <c r="C47" s="1202"/>
      <c r="D47" s="1202"/>
      <c r="E47" s="1202"/>
      <c r="F47" s="1202"/>
      <c r="G47" s="1175"/>
      <c r="H47" s="1212"/>
      <c r="I47" s="95" t="s">
        <v>28</v>
      </c>
      <c r="J47" s="95">
        <v>334</v>
      </c>
      <c r="K47" s="482" t="s">
        <v>409</v>
      </c>
      <c r="L47" s="384" t="s">
        <v>39</v>
      </c>
      <c r="M47" s="95">
        <v>6</v>
      </c>
      <c r="N47" s="212" t="s">
        <v>55</v>
      </c>
      <c r="O47" s="479">
        <v>42444000</v>
      </c>
      <c r="P47" s="477"/>
      <c r="Q47" s="476"/>
      <c r="R47" s="475"/>
      <c r="S47" s="94"/>
      <c r="T47" s="94"/>
      <c r="U47" s="94"/>
      <c r="V47" s="92"/>
      <c r="W47" s="91">
        <f t="shared" si="9"/>
        <v>42444000</v>
      </c>
      <c r="X47" s="137">
        <v>42444000</v>
      </c>
      <c r="Y47" s="133"/>
      <c r="Z47" s="88">
        <f t="shared" si="0"/>
        <v>42444000</v>
      </c>
      <c r="AA47" s="87">
        <v>41520</v>
      </c>
      <c r="AB47" s="50">
        <v>93</v>
      </c>
      <c r="AC47" s="50" t="s">
        <v>408</v>
      </c>
      <c r="AD47" s="431"/>
      <c r="AE47" s="50"/>
      <c r="AF47" s="50"/>
      <c r="AG47" s="49"/>
      <c r="AH47" s="3">
        <f t="shared" ref="AH47:AH53" si="10">+AI47/Z47</f>
        <v>0.6</v>
      </c>
      <c r="AI47" s="2">
        <v>25466400</v>
      </c>
    </row>
    <row r="48" spans="2:35" ht="54" customHeight="1" x14ac:dyDescent="0.25">
      <c r="B48" s="1202"/>
      <c r="C48" s="1202"/>
      <c r="D48" s="1202"/>
      <c r="E48" s="1202"/>
      <c r="F48" s="1202"/>
      <c r="G48" s="1175"/>
      <c r="H48" s="1212"/>
      <c r="I48" s="95" t="s">
        <v>28</v>
      </c>
      <c r="J48" s="95">
        <v>322</v>
      </c>
      <c r="K48" s="480" t="s">
        <v>407</v>
      </c>
      <c r="L48" s="384" t="s">
        <v>39</v>
      </c>
      <c r="M48" s="95">
        <v>4</v>
      </c>
      <c r="N48" s="212" t="s">
        <v>55</v>
      </c>
      <c r="O48" s="479">
        <f>14148000+589500</f>
        <v>14737500</v>
      </c>
      <c r="P48" s="477"/>
      <c r="Q48" s="476"/>
      <c r="R48" s="475"/>
      <c r="S48" s="94"/>
      <c r="T48" s="94"/>
      <c r="U48" s="94"/>
      <c r="V48" s="92"/>
      <c r="W48" s="91">
        <f t="shared" si="9"/>
        <v>14737500</v>
      </c>
      <c r="X48" s="137">
        <v>14737500</v>
      </c>
      <c r="Y48" s="133"/>
      <c r="Z48" s="88">
        <f t="shared" si="0"/>
        <v>14737500</v>
      </c>
      <c r="AA48" s="87">
        <v>41520</v>
      </c>
      <c r="AB48" s="50">
        <v>94</v>
      </c>
      <c r="AC48" s="50" t="s">
        <v>406</v>
      </c>
      <c r="AD48" s="431"/>
      <c r="AE48" s="50"/>
      <c r="AF48" s="50"/>
      <c r="AG48" s="49"/>
      <c r="AH48" s="3">
        <f t="shared" si="10"/>
        <v>0.8</v>
      </c>
      <c r="AI48" s="2">
        <v>11790000</v>
      </c>
    </row>
    <row r="49" spans="2:35" ht="61.5" customHeight="1" x14ac:dyDescent="0.25">
      <c r="B49" s="1202"/>
      <c r="C49" s="1202"/>
      <c r="D49" s="1202"/>
      <c r="E49" s="1202"/>
      <c r="F49" s="1202"/>
      <c r="G49" s="1175"/>
      <c r="H49" s="1212"/>
      <c r="I49" s="95" t="s">
        <v>28</v>
      </c>
      <c r="J49" s="95">
        <v>335</v>
      </c>
      <c r="K49" s="481" t="s">
        <v>405</v>
      </c>
      <c r="L49" s="384" t="s">
        <v>39</v>
      </c>
      <c r="M49" s="95">
        <v>4</v>
      </c>
      <c r="N49" s="212" t="s">
        <v>55</v>
      </c>
      <c r="O49" s="479">
        <v>23580000</v>
      </c>
      <c r="P49" s="477"/>
      <c r="Q49" s="476"/>
      <c r="R49" s="475"/>
      <c r="S49" s="94"/>
      <c r="T49" s="94"/>
      <c r="U49" s="94"/>
      <c r="V49" s="92"/>
      <c r="W49" s="91">
        <f t="shared" si="9"/>
        <v>23580000</v>
      </c>
      <c r="X49" s="137">
        <v>23580000</v>
      </c>
      <c r="Y49" s="133"/>
      <c r="Z49" s="88">
        <f t="shared" si="0"/>
        <v>23580000</v>
      </c>
      <c r="AA49" s="87">
        <v>41520</v>
      </c>
      <c r="AB49" s="50">
        <v>95</v>
      </c>
      <c r="AC49" s="50" t="s">
        <v>404</v>
      </c>
      <c r="AD49" s="431"/>
      <c r="AE49" s="50"/>
      <c r="AF49" s="50"/>
      <c r="AG49" s="49"/>
      <c r="AH49" s="3">
        <f t="shared" si="10"/>
        <v>0.5</v>
      </c>
      <c r="AI49" s="2">
        <v>11790000</v>
      </c>
    </row>
    <row r="50" spans="2:35" ht="42" customHeight="1" x14ac:dyDescent="0.25">
      <c r="B50" s="1202"/>
      <c r="C50" s="1202"/>
      <c r="D50" s="1202"/>
      <c r="E50" s="1202"/>
      <c r="F50" s="1202"/>
      <c r="G50" s="1175"/>
      <c r="H50" s="1212"/>
      <c r="I50" s="95" t="s">
        <v>28</v>
      </c>
      <c r="J50" s="95">
        <v>336</v>
      </c>
      <c r="K50" s="480" t="s">
        <v>403</v>
      </c>
      <c r="L50" s="384" t="s">
        <v>39</v>
      </c>
      <c r="M50" s="95">
        <v>4</v>
      </c>
      <c r="N50" s="212" t="s">
        <v>55</v>
      </c>
      <c r="O50" s="479">
        <v>23580000</v>
      </c>
      <c r="P50" s="477"/>
      <c r="Q50" s="476"/>
      <c r="R50" s="475"/>
      <c r="S50" s="94"/>
      <c r="T50" s="94"/>
      <c r="U50" s="94"/>
      <c r="V50" s="92"/>
      <c r="W50" s="91">
        <f t="shared" si="9"/>
        <v>23580000</v>
      </c>
      <c r="X50" s="137">
        <v>23580000</v>
      </c>
      <c r="Y50" s="133"/>
      <c r="Z50" s="88">
        <f t="shared" si="0"/>
        <v>23580000</v>
      </c>
      <c r="AA50" s="87">
        <v>41521</v>
      </c>
      <c r="AB50" s="50">
        <v>97</v>
      </c>
      <c r="AC50" s="50" t="s">
        <v>402</v>
      </c>
      <c r="AD50" s="431"/>
      <c r="AE50" s="50"/>
      <c r="AF50" s="50"/>
      <c r="AG50" s="49"/>
      <c r="AH50" s="3">
        <f t="shared" si="10"/>
        <v>0.375</v>
      </c>
      <c r="AI50" s="2">
        <v>8842500</v>
      </c>
    </row>
    <row r="51" spans="2:35" ht="105.75" customHeight="1" x14ac:dyDescent="0.25">
      <c r="B51" s="1202"/>
      <c r="C51" s="1202"/>
      <c r="D51" s="1202"/>
      <c r="E51" s="1202"/>
      <c r="F51" s="1202"/>
      <c r="G51" s="1175"/>
      <c r="H51" s="1212"/>
      <c r="I51" s="95" t="s">
        <v>28</v>
      </c>
      <c r="J51" s="95">
        <v>337</v>
      </c>
      <c r="K51" s="480" t="s">
        <v>401</v>
      </c>
      <c r="L51" s="384" t="s">
        <v>39</v>
      </c>
      <c r="M51" s="95">
        <v>4</v>
      </c>
      <c r="N51" s="212" t="s">
        <v>55</v>
      </c>
      <c r="O51" s="479">
        <v>23580000</v>
      </c>
      <c r="P51" s="477"/>
      <c r="Q51" s="476"/>
      <c r="R51" s="475"/>
      <c r="S51" s="94"/>
      <c r="T51" s="94"/>
      <c r="U51" s="94"/>
      <c r="V51" s="92"/>
      <c r="W51" s="91">
        <f t="shared" si="9"/>
        <v>23580000</v>
      </c>
      <c r="X51" s="137">
        <v>23580000</v>
      </c>
      <c r="Y51" s="133"/>
      <c r="Z51" s="88">
        <f t="shared" si="0"/>
        <v>23580000</v>
      </c>
      <c r="AA51" s="87">
        <v>41528</v>
      </c>
      <c r="AB51" s="50">
        <v>101</v>
      </c>
      <c r="AC51" s="50" t="s">
        <v>400</v>
      </c>
      <c r="AD51" s="431"/>
      <c r="AE51" s="50"/>
      <c r="AF51" s="50"/>
      <c r="AG51" s="49"/>
      <c r="AH51" s="3">
        <f t="shared" si="10"/>
        <v>0.5</v>
      </c>
      <c r="AI51" s="2">
        <v>11790000</v>
      </c>
    </row>
    <row r="52" spans="2:35" ht="43.5" customHeight="1" x14ac:dyDescent="0.25">
      <c r="B52" s="1202"/>
      <c r="C52" s="1202"/>
      <c r="D52" s="1202"/>
      <c r="E52" s="1202"/>
      <c r="F52" s="1202"/>
      <c r="G52" s="1175"/>
      <c r="H52" s="1212"/>
      <c r="I52" s="95" t="s">
        <v>28</v>
      </c>
      <c r="J52" s="95">
        <v>338</v>
      </c>
      <c r="K52" s="480" t="s">
        <v>399</v>
      </c>
      <c r="L52" s="384" t="s">
        <v>39</v>
      </c>
      <c r="M52" s="95">
        <v>4</v>
      </c>
      <c r="N52" s="212" t="s">
        <v>55</v>
      </c>
      <c r="O52" s="479">
        <v>23580000</v>
      </c>
      <c r="P52" s="477"/>
      <c r="Q52" s="476"/>
      <c r="R52" s="475"/>
      <c r="S52" s="94"/>
      <c r="T52" s="94"/>
      <c r="U52" s="94"/>
      <c r="V52" s="92"/>
      <c r="W52" s="91">
        <f t="shared" si="9"/>
        <v>23580000</v>
      </c>
      <c r="X52" s="137">
        <v>23580000</v>
      </c>
      <c r="Y52" s="133"/>
      <c r="Z52" s="88">
        <f t="shared" si="0"/>
        <v>23580000</v>
      </c>
      <c r="AA52" s="87">
        <v>41529</v>
      </c>
      <c r="AB52" s="50">
        <v>103</v>
      </c>
      <c r="AC52" s="50" t="s">
        <v>398</v>
      </c>
      <c r="AD52" s="431"/>
      <c r="AE52" s="50"/>
      <c r="AF52" s="50"/>
      <c r="AG52" s="49"/>
      <c r="AH52" s="3">
        <f t="shared" si="10"/>
        <v>0.5</v>
      </c>
      <c r="AI52" s="2">
        <v>11790000</v>
      </c>
    </row>
    <row r="53" spans="2:35" ht="59.25" customHeight="1" x14ac:dyDescent="0.25">
      <c r="B53" s="1202"/>
      <c r="C53" s="1202"/>
      <c r="D53" s="1202"/>
      <c r="E53" s="1202"/>
      <c r="F53" s="1202"/>
      <c r="G53" s="1175"/>
      <c r="H53" s="1212"/>
      <c r="I53" s="95" t="s">
        <v>28</v>
      </c>
      <c r="J53" s="95">
        <v>329</v>
      </c>
      <c r="K53" s="246" t="s">
        <v>397</v>
      </c>
      <c r="L53" s="384" t="s">
        <v>39</v>
      </c>
      <c r="M53" s="95">
        <v>4</v>
      </c>
      <c r="N53" s="212" t="s">
        <v>55</v>
      </c>
      <c r="O53" s="478">
        <v>152502250</v>
      </c>
      <c r="P53" s="477"/>
      <c r="Q53" s="476"/>
      <c r="R53" s="475"/>
      <c r="S53" s="94"/>
      <c r="T53" s="94"/>
      <c r="U53" s="94"/>
      <c r="V53" s="92"/>
      <c r="W53" s="91">
        <f t="shared" si="9"/>
        <v>152502250</v>
      </c>
      <c r="X53" s="137">
        <v>152502250</v>
      </c>
      <c r="Y53" s="133"/>
      <c r="Z53" s="88">
        <f t="shared" si="0"/>
        <v>152502250</v>
      </c>
      <c r="AA53" s="87">
        <v>41558</v>
      </c>
      <c r="AB53" s="50">
        <v>118</v>
      </c>
      <c r="AC53" s="50" t="s">
        <v>396</v>
      </c>
      <c r="AD53" s="431"/>
      <c r="AE53" s="50"/>
      <c r="AF53" s="50"/>
      <c r="AG53" s="49"/>
      <c r="AH53" s="3">
        <f t="shared" si="10"/>
        <v>1</v>
      </c>
      <c r="AI53" s="2">
        <v>152502250</v>
      </c>
    </row>
    <row r="54" spans="2:35" ht="39" customHeight="1" x14ac:dyDescent="0.25">
      <c r="B54" s="1202"/>
      <c r="C54" s="1202"/>
      <c r="D54" s="1202"/>
      <c r="E54" s="1202"/>
      <c r="F54" s="1202"/>
      <c r="G54" s="1175"/>
      <c r="H54" s="1212"/>
      <c r="I54" s="95" t="s">
        <v>28</v>
      </c>
      <c r="J54" s="95">
        <v>319</v>
      </c>
      <c r="K54" s="246" t="s">
        <v>332</v>
      </c>
      <c r="L54" s="384" t="s">
        <v>26</v>
      </c>
      <c r="M54" s="95">
        <v>8</v>
      </c>
      <c r="N54" s="212" t="s">
        <v>55</v>
      </c>
      <c r="O54" s="478">
        <v>50000000</v>
      </c>
      <c r="P54" s="477"/>
      <c r="Q54" s="476"/>
      <c r="R54" s="475"/>
      <c r="S54" s="94"/>
      <c r="T54" s="94"/>
      <c r="U54" s="94"/>
      <c r="V54" s="92"/>
      <c r="W54" s="91">
        <f t="shared" si="9"/>
        <v>50000000</v>
      </c>
      <c r="X54" s="137">
        <v>50000000</v>
      </c>
      <c r="Y54" s="133"/>
      <c r="Z54" s="88">
        <f t="shared" si="0"/>
        <v>50000000</v>
      </c>
      <c r="AA54" s="87">
        <v>41572</v>
      </c>
      <c r="AB54" s="50">
        <v>120</v>
      </c>
      <c r="AC54" s="50" t="s">
        <v>171</v>
      </c>
      <c r="AD54" s="431"/>
      <c r="AE54" s="50"/>
      <c r="AF54" s="50"/>
      <c r="AG54" s="49"/>
      <c r="AI54" s="271"/>
    </row>
    <row r="55" spans="2:35" ht="39" customHeight="1" x14ac:dyDescent="0.25">
      <c r="B55" s="1202"/>
      <c r="C55" s="1202"/>
      <c r="D55" s="1202"/>
      <c r="E55" s="1202"/>
      <c r="F55" s="1202"/>
      <c r="G55" s="1175"/>
      <c r="H55" s="1212"/>
      <c r="I55" s="95" t="s">
        <v>28</v>
      </c>
      <c r="J55" s="95">
        <v>294</v>
      </c>
      <c r="K55" s="246" t="s">
        <v>395</v>
      </c>
      <c r="L55" s="384" t="s">
        <v>150</v>
      </c>
      <c r="M55" s="95">
        <v>6</v>
      </c>
      <c r="N55" s="212" t="s">
        <v>55</v>
      </c>
      <c r="O55" s="478">
        <v>31833000</v>
      </c>
      <c r="P55" s="477"/>
      <c r="Q55" s="476"/>
      <c r="R55" s="475"/>
      <c r="S55" s="94"/>
      <c r="T55" s="94"/>
      <c r="U55" s="94"/>
      <c r="V55" s="92"/>
      <c r="W55" s="91">
        <f t="shared" si="9"/>
        <v>31833000</v>
      </c>
      <c r="X55" s="137">
        <v>31833000</v>
      </c>
      <c r="Y55" s="133"/>
      <c r="Z55" s="88">
        <f t="shared" si="0"/>
        <v>31833000</v>
      </c>
      <c r="AA55" s="87">
        <v>41509</v>
      </c>
      <c r="AB55" s="50">
        <v>88</v>
      </c>
      <c r="AC55" s="50" t="s">
        <v>394</v>
      </c>
      <c r="AD55" s="431"/>
      <c r="AE55" s="50"/>
      <c r="AF55" s="50"/>
      <c r="AG55" s="49"/>
      <c r="AH55" s="3">
        <f>+AI55/Z55</f>
        <v>0.6</v>
      </c>
      <c r="AI55" s="2">
        <v>19099800</v>
      </c>
    </row>
    <row r="56" spans="2:35" ht="43.5" customHeight="1" x14ac:dyDescent="0.25">
      <c r="B56" s="1202"/>
      <c r="C56" s="1202"/>
      <c r="D56" s="1202"/>
      <c r="E56" s="1202"/>
      <c r="F56" s="1202"/>
      <c r="G56" s="1176"/>
      <c r="H56" s="1213"/>
      <c r="I56" s="95"/>
      <c r="J56" s="95">
        <v>268</v>
      </c>
      <c r="K56" s="246" t="s">
        <v>393</v>
      </c>
      <c r="L56" s="384" t="s">
        <v>26</v>
      </c>
      <c r="M56" s="95">
        <v>8</v>
      </c>
      <c r="N56" s="212" t="s">
        <v>55</v>
      </c>
      <c r="O56" s="478">
        <f>10000000+1590250-589500</f>
        <v>11000750</v>
      </c>
      <c r="P56" s="477"/>
      <c r="Q56" s="476"/>
      <c r="R56" s="475"/>
      <c r="S56" s="94"/>
      <c r="T56" s="94"/>
      <c r="U56" s="94"/>
      <c r="V56" s="92"/>
      <c r="W56" s="91">
        <f t="shared" si="9"/>
        <v>11000750</v>
      </c>
      <c r="X56" s="137">
        <v>11000750</v>
      </c>
      <c r="Y56" s="133"/>
      <c r="Z56" s="88">
        <f t="shared" si="0"/>
        <v>11000750</v>
      </c>
      <c r="AA56" s="87">
        <v>41577</v>
      </c>
      <c r="AB56" s="50">
        <v>123</v>
      </c>
      <c r="AC56" s="50" t="s">
        <v>392</v>
      </c>
      <c r="AD56" s="431"/>
      <c r="AE56" s="50"/>
      <c r="AF56" s="50"/>
      <c r="AG56" s="49"/>
      <c r="AH56" s="3">
        <f>+AI56/Z56</f>
        <v>1</v>
      </c>
      <c r="AI56" s="2">
        <v>11000750</v>
      </c>
    </row>
    <row r="57" spans="2:35" ht="21.75" customHeight="1" x14ac:dyDescent="0.25">
      <c r="B57" s="1202"/>
      <c r="C57" s="1202"/>
      <c r="D57" s="1202"/>
      <c r="E57" s="1202"/>
      <c r="F57" s="1202"/>
      <c r="G57" s="1192" t="s">
        <v>23</v>
      </c>
      <c r="H57" s="1193"/>
      <c r="I57" s="1193"/>
      <c r="J57" s="1193"/>
      <c r="K57" s="1193"/>
      <c r="L57" s="1193"/>
      <c r="M57" s="1193"/>
      <c r="N57" s="1194"/>
      <c r="O57" s="298">
        <f t="shared" ref="O57:Y57" si="11">SUM(O44:O56)</f>
        <v>500000000</v>
      </c>
      <c r="P57" s="298">
        <f t="shared" si="11"/>
        <v>0</v>
      </c>
      <c r="Q57" s="298">
        <f t="shared" si="11"/>
        <v>0</v>
      </c>
      <c r="R57" s="298">
        <f t="shared" si="11"/>
        <v>0</v>
      </c>
      <c r="S57" s="298">
        <f t="shared" si="11"/>
        <v>0</v>
      </c>
      <c r="T57" s="298">
        <f t="shared" si="11"/>
        <v>0</v>
      </c>
      <c r="U57" s="298">
        <f t="shared" si="11"/>
        <v>0</v>
      </c>
      <c r="V57" s="298">
        <f t="shared" si="11"/>
        <v>0</v>
      </c>
      <c r="W57" s="278">
        <f t="shared" si="11"/>
        <v>500000000</v>
      </c>
      <c r="X57" s="474">
        <f t="shared" si="11"/>
        <v>500000000</v>
      </c>
      <c r="Y57" s="474">
        <f t="shared" si="11"/>
        <v>0</v>
      </c>
      <c r="Z57" s="88">
        <f t="shared" si="0"/>
        <v>500000000</v>
      </c>
      <c r="AA57" s="78"/>
      <c r="AB57" s="78"/>
      <c r="AC57" s="78"/>
      <c r="AD57" s="79">
        <f>+Z57/W57</f>
        <v>1</v>
      </c>
      <c r="AE57" s="78"/>
      <c r="AF57" s="78"/>
      <c r="AG57" s="226"/>
    </row>
    <row r="58" spans="2:35" ht="51.75" customHeight="1" x14ac:dyDescent="0.25">
      <c r="B58" s="1220" t="str">
        <f>+B44</f>
        <v>Proyecto No. 702 : Investigación e innovación para la construcción de conocimiento educativo y pedagógico.</v>
      </c>
      <c r="C58" s="1220" t="str">
        <f>+C44</f>
        <v>ESCUELA, CURRICULO Y PEDAOGÍA</v>
      </c>
      <c r="D58" s="1220" t="str">
        <f>+D44</f>
        <v>Desarrollar 23 estudios 
en Escuela, currículo y pedagogía</v>
      </c>
      <c r="E58" s="1220" t="str">
        <f>+E44</f>
        <v>Desarrollar 7 estudios en Escuela Curriculo y Pedagogía en el año 2013 y terminar el 0,80% del estudio del año 2012.</v>
      </c>
      <c r="F58" s="1220" t="str">
        <f>+F44</f>
        <v>Porcentaje de avance de los Estudios desarrollados en Escuela, currículo y pedagogía.</v>
      </c>
      <c r="G58" s="1174" t="s">
        <v>391</v>
      </c>
      <c r="H58" s="1285" t="s">
        <v>340</v>
      </c>
      <c r="I58" s="472" t="s">
        <v>28</v>
      </c>
      <c r="J58" s="472">
        <v>312</v>
      </c>
      <c r="K58" s="473" t="s">
        <v>390</v>
      </c>
      <c r="L58" s="153" t="s">
        <v>389</v>
      </c>
      <c r="M58" s="95">
        <v>7</v>
      </c>
      <c r="N58" s="212" t="s">
        <v>55</v>
      </c>
      <c r="O58" s="281">
        <f>200000000+37138500</f>
        <v>237138500</v>
      </c>
      <c r="P58" s="262"/>
      <c r="Q58" s="471"/>
      <c r="R58" s="94"/>
      <c r="S58" s="94"/>
      <c r="T58" s="94"/>
      <c r="U58" s="93"/>
      <c r="V58" s="92"/>
      <c r="W58" s="91">
        <f>+O58+R58</f>
        <v>237138500</v>
      </c>
      <c r="X58" s="232">
        <v>237138500</v>
      </c>
      <c r="Y58" s="133"/>
      <c r="Z58" s="88">
        <f t="shared" si="0"/>
        <v>237138500</v>
      </c>
      <c r="AA58" s="87">
        <v>41562</v>
      </c>
      <c r="AB58" s="50">
        <v>119</v>
      </c>
      <c r="AC58" s="50" t="s">
        <v>388</v>
      </c>
      <c r="AD58" s="431"/>
      <c r="AE58" s="50"/>
      <c r="AF58" s="50"/>
      <c r="AG58" s="49"/>
      <c r="AH58" s="3">
        <f>+AI58/Z58</f>
        <v>0.6</v>
      </c>
      <c r="AI58" s="2">
        <v>142283100</v>
      </c>
    </row>
    <row r="59" spans="2:35" ht="48.75" customHeight="1" x14ac:dyDescent="0.25">
      <c r="B59" s="1220"/>
      <c r="C59" s="1220"/>
      <c r="D59" s="1220"/>
      <c r="E59" s="1220"/>
      <c r="F59" s="1220"/>
      <c r="G59" s="1176"/>
      <c r="H59" s="1286"/>
      <c r="I59" s="472" t="s">
        <v>28</v>
      </c>
      <c r="J59" s="472">
        <v>319</v>
      </c>
      <c r="K59" s="246" t="s">
        <v>332</v>
      </c>
      <c r="L59" s="153" t="s">
        <v>26</v>
      </c>
      <c r="M59" s="95">
        <v>8</v>
      </c>
      <c r="N59" s="212" t="s">
        <v>55</v>
      </c>
      <c r="O59" s="281">
        <v>12861500</v>
      </c>
      <c r="P59" s="262"/>
      <c r="Q59" s="471"/>
      <c r="R59" s="94"/>
      <c r="S59" s="94"/>
      <c r="T59" s="94"/>
      <c r="U59" s="93"/>
      <c r="V59" s="92"/>
      <c r="W59" s="91">
        <f>+O59+R59</f>
        <v>12861500</v>
      </c>
      <c r="X59" s="232">
        <v>12861500</v>
      </c>
      <c r="Y59" s="133"/>
      <c r="Z59" s="88">
        <f t="shared" si="0"/>
        <v>12861500</v>
      </c>
      <c r="AA59" s="87">
        <v>41572</v>
      </c>
      <c r="AB59" s="50">
        <v>120</v>
      </c>
      <c r="AC59" s="50" t="s">
        <v>171</v>
      </c>
      <c r="AD59" s="431"/>
      <c r="AE59" s="50"/>
      <c r="AF59" s="50"/>
      <c r="AG59" s="49"/>
      <c r="AI59" s="271"/>
    </row>
    <row r="60" spans="2:35" ht="21.75" customHeight="1" x14ac:dyDescent="0.25">
      <c r="B60" s="1221"/>
      <c r="C60" s="1221"/>
      <c r="D60" s="1221"/>
      <c r="E60" s="1221"/>
      <c r="F60" s="1221"/>
      <c r="G60" s="1188" t="s">
        <v>23</v>
      </c>
      <c r="H60" s="1188"/>
      <c r="I60" s="1188"/>
      <c r="J60" s="1188"/>
      <c r="K60" s="1188"/>
      <c r="L60" s="1188"/>
      <c r="M60" s="1188"/>
      <c r="N60" s="1188"/>
      <c r="O60" s="144">
        <f>SUM(O58:O59)</f>
        <v>250000000</v>
      </c>
      <c r="P60" s="144" t="e">
        <f>SUM(#REF!)</f>
        <v>#REF!</v>
      </c>
      <c r="Q60" s="144" t="e">
        <f>SUM(#REF!)</f>
        <v>#REF!</v>
      </c>
      <c r="R60" s="82">
        <f t="shared" ref="R60:Y60" si="12">SUM(R58:R59)</f>
        <v>0</v>
      </c>
      <c r="S60" s="82">
        <f t="shared" si="12"/>
        <v>0</v>
      </c>
      <c r="T60" s="82">
        <f t="shared" si="12"/>
        <v>0</v>
      </c>
      <c r="U60" s="82">
        <f t="shared" si="12"/>
        <v>0</v>
      </c>
      <c r="V60" s="82">
        <f t="shared" si="12"/>
        <v>0</v>
      </c>
      <c r="W60" s="82">
        <f t="shared" si="12"/>
        <v>250000000</v>
      </c>
      <c r="X60" s="82">
        <f t="shared" si="12"/>
        <v>250000000</v>
      </c>
      <c r="Y60" s="82">
        <f t="shared" si="12"/>
        <v>0</v>
      </c>
      <c r="Z60" s="88">
        <f t="shared" si="0"/>
        <v>250000000</v>
      </c>
      <c r="AA60" s="78"/>
      <c r="AB60" s="78"/>
      <c r="AC60" s="78"/>
      <c r="AD60" s="79">
        <f>+Z60/W60</f>
        <v>1</v>
      </c>
      <c r="AE60" s="78"/>
      <c r="AF60" s="78"/>
      <c r="AG60" s="226"/>
    </row>
    <row r="61" spans="2:35" ht="39.75" customHeight="1" x14ac:dyDescent="0.25">
      <c r="B61" s="1296" t="str">
        <f>+B38</f>
        <v>Proyecto No. 702 : Investigación e innovación para la construcción de conocimiento educativo y pedagógico.</v>
      </c>
      <c r="C61" s="1279" t="str">
        <f>+C38</f>
        <v>ESCUELA, CURRICULO Y PEDAOGÍA</v>
      </c>
      <c r="D61" s="1205" t="str">
        <f>+D38</f>
        <v>Desarrollar 23 estudios 
en Escuela, currículo y pedagogía</v>
      </c>
      <c r="E61" s="1205" t="str">
        <f>+E38</f>
        <v>Desarrollar 7 estudios en Escuela Curriculo y Pedagogía en el año 2013 y terminar el 0,80% del estudio del año 2012.</v>
      </c>
      <c r="F61" s="1276" t="str">
        <f>+F38</f>
        <v>Porcentaje de avance de los Estudios desarrollados en Escuela, currículo y pedagogía.</v>
      </c>
      <c r="G61" s="1174" t="s">
        <v>387</v>
      </c>
      <c r="H61" s="470"/>
      <c r="I61" s="153"/>
      <c r="J61" s="469"/>
      <c r="K61" s="290" t="s">
        <v>386</v>
      </c>
      <c r="L61" s="121" t="s">
        <v>47</v>
      </c>
      <c r="M61" s="121">
        <v>1</v>
      </c>
      <c r="N61" s="121" t="s">
        <v>55</v>
      </c>
      <c r="O61" s="287"/>
      <c r="P61" s="314"/>
      <c r="Q61" s="314">
        <f>+O61+P61</f>
        <v>0</v>
      </c>
      <c r="R61" s="287">
        <v>10444147</v>
      </c>
      <c r="S61" s="314"/>
      <c r="T61" s="314"/>
      <c r="U61" s="313">
        <f>+R61+T61</f>
        <v>10444147</v>
      </c>
      <c r="V61" s="312">
        <f>+Q61+U61</f>
        <v>10444147</v>
      </c>
      <c r="W61" s="312">
        <f>+Q61+V61</f>
        <v>10444147</v>
      </c>
      <c r="X61" s="327"/>
      <c r="Y61" s="50"/>
      <c r="Z61" s="88">
        <f t="shared" si="0"/>
        <v>0</v>
      </c>
      <c r="AA61" s="107"/>
      <c r="AB61" s="50"/>
      <c r="AC61" s="50"/>
      <c r="AD61" s="431"/>
      <c r="AE61" s="86" t="s">
        <v>384</v>
      </c>
      <c r="AF61" s="148">
        <v>214147</v>
      </c>
      <c r="AG61" s="468">
        <f>+Z61</f>
        <v>0</v>
      </c>
    </row>
    <row r="62" spans="2:35" ht="26.25" customHeight="1" x14ac:dyDescent="0.25">
      <c r="B62" s="1297"/>
      <c r="C62" s="1280"/>
      <c r="D62" s="1206"/>
      <c r="E62" s="1206"/>
      <c r="F62" s="1220"/>
      <c r="G62" s="1175"/>
      <c r="H62" s="439"/>
      <c r="I62" s="153" t="s">
        <v>28</v>
      </c>
      <c r="J62" s="153">
        <v>327</v>
      </c>
      <c r="K62" s="467" t="s">
        <v>385</v>
      </c>
      <c r="L62" s="153" t="s">
        <v>39</v>
      </c>
      <c r="M62" s="153"/>
      <c r="N62" s="212" t="s">
        <v>55</v>
      </c>
      <c r="O62" s="283"/>
      <c r="P62" s="338"/>
      <c r="Q62" s="338"/>
      <c r="R62" s="283">
        <v>9555853</v>
      </c>
      <c r="S62" s="338"/>
      <c r="T62" s="338"/>
      <c r="U62" s="337"/>
      <c r="V62" s="74"/>
      <c r="W62" s="74">
        <f>+O62+R62</f>
        <v>9555853</v>
      </c>
      <c r="X62" s="327"/>
      <c r="Y62" s="2">
        <v>9555853</v>
      </c>
      <c r="Z62" s="88">
        <f t="shared" si="0"/>
        <v>9555853</v>
      </c>
      <c r="AA62" s="87">
        <v>41556</v>
      </c>
      <c r="AB62" s="50">
        <v>117</v>
      </c>
      <c r="AC62" s="50" t="s">
        <v>303</v>
      </c>
      <c r="AD62" s="431"/>
      <c r="AE62" s="86" t="s">
        <v>384</v>
      </c>
      <c r="AF62" s="148">
        <f>+R62</f>
        <v>9555853</v>
      </c>
      <c r="AG62" s="466">
        <f>+Z62</f>
        <v>9555853</v>
      </c>
      <c r="AH62" s="3">
        <f>+AI62/Z62</f>
        <v>4.2521508022360743</v>
      </c>
      <c r="AI62" s="2">
        <v>40632928</v>
      </c>
    </row>
    <row r="63" spans="2:35" ht="41.25" customHeight="1" x14ac:dyDescent="0.25">
      <c r="B63" s="1297"/>
      <c r="C63" s="1280"/>
      <c r="D63" s="1206"/>
      <c r="E63" s="1206"/>
      <c r="F63" s="1220"/>
      <c r="G63" s="1175"/>
      <c r="H63" s="439"/>
      <c r="I63" s="153"/>
      <c r="J63" s="153">
        <v>253</v>
      </c>
      <c r="K63" s="294" t="s">
        <v>383</v>
      </c>
      <c r="L63" s="446" t="s">
        <v>47</v>
      </c>
      <c r="M63" s="121"/>
      <c r="N63" s="199" t="s">
        <v>55</v>
      </c>
      <c r="O63" s="287"/>
      <c r="P63" s="314"/>
      <c r="Q63" s="314"/>
      <c r="R63" s="445">
        <f>45000000-42879629</f>
        <v>2120371</v>
      </c>
      <c r="S63" s="314"/>
      <c r="T63" s="314"/>
      <c r="U63" s="313">
        <f>+R63+T63</f>
        <v>2120371</v>
      </c>
      <c r="V63" s="312">
        <f>+Q63+U63</f>
        <v>2120371</v>
      </c>
      <c r="W63" s="312">
        <f>+Q63+V63</f>
        <v>2120371</v>
      </c>
      <c r="X63" s="327"/>
      <c r="Y63" s="50"/>
      <c r="Z63" s="88">
        <f t="shared" si="0"/>
        <v>0</v>
      </c>
      <c r="AA63" s="50"/>
      <c r="AB63" s="50"/>
      <c r="AC63" s="50"/>
      <c r="AD63" s="431"/>
      <c r="AE63" s="107"/>
      <c r="AF63" s="50"/>
      <c r="AG63" s="49"/>
    </row>
    <row r="64" spans="2:35" ht="53.25" customHeight="1" x14ac:dyDescent="0.25">
      <c r="B64" s="1297"/>
      <c r="C64" s="1280"/>
      <c r="D64" s="1206"/>
      <c r="E64" s="1206"/>
      <c r="F64" s="1220"/>
      <c r="G64" s="1175"/>
      <c r="H64" s="439"/>
      <c r="I64" s="153" t="s">
        <v>41</v>
      </c>
      <c r="J64" s="153">
        <v>305</v>
      </c>
      <c r="K64" s="465" t="s">
        <v>382</v>
      </c>
      <c r="L64" s="353" t="s">
        <v>39</v>
      </c>
      <c r="M64" s="153">
        <v>1</v>
      </c>
      <c r="N64" s="212" t="s">
        <v>46</v>
      </c>
      <c r="O64" s="283"/>
      <c r="P64" s="338"/>
      <c r="Q64" s="338"/>
      <c r="R64" s="432">
        <v>58400000</v>
      </c>
      <c r="S64" s="338"/>
      <c r="T64" s="338"/>
      <c r="U64" s="337"/>
      <c r="V64" s="74"/>
      <c r="W64" s="74">
        <f>+O64+R64</f>
        <v>58400000</v>
      </c>
      <c r="X64" s="327"/>
      <c r="Y64" s="136">
        <v>58400000</v>
      </c>
      <c r="Z64" s="88">
        <f t="shared" si="0"/>
        <v>58400000</v>
      </c>
      <c r="AA64" s="87">
        <v>41540</v>
      </c>
      <c r="AB64" s="50">
        <v>113</v>
      </c>
      <c r="AC64" s="50" t="s">
        <v>38</v>
      </c>
      <c r="AD64" s="431"/>
      <c r="AE64" s="50"/>
      <c r="AF64" s="50"/>
      <c r="AG64" s="49"/>
      <c r="AH64" s="3">
        <f>+AI64/Z64</f>
        <v>0.78595890410958902</v>
      </c>
      <c r="AI64" s="113">
        <v>45900000</v>
      </c>
    </row>
    <row r="65" spans="2:43" ht="43.5" customHeight="1" x14ac:dyDescent="0.25">
      <c r="B65" s="1297"/>
      <c r="C65" s="1280"/>
      <c r="D65" s="1206"/>
      <c r="E65" s="1206"/>
      <c r="F65" s="1220"/>
      <c r="G65" s="1175"/>
      <c r="H65" s="1175" t="s">
        <v>233</v>
      </c>
      <c r="I65" s="153"/>
      <c r="J65" s="153"/>
      <c r="K65" s="464" t="s">
        <v>381</v>
      </c>
      <c r="L65" s="359"/>
      <c r="M65" s="410"/>
      <c r="N65" s="410"/>
      <c r="O65" s="357"/>
      <c r="P65" s="357"/>
      <c r="Q65" s="357"/>
      <c r="R65" s="451">
        <f>59616110-58400000</f>
        <v>1216110</v>
      </c>
      <c r="S65" s="462"/>
      <c r="T65" s="462"/>
      <c r="U65" s="463"/>
      <c r="V65" s="462"/>
      <c r="W65" s="443">
        <f>+O65+R65</f>
        <v>1216110</v>
      </c>
      <c r="X65" s="327"/>
      <c r="Y65" s="50"/>
      <c r="Z65" s="88">
        <f t="shared" si="0"/>
        <v>0</v>
      </c>
      <c r="AA65" s="50"/>
      <c r="AB65" s="50"/>
      <c r="AC65" s="107"/>
      <c r="AD65" s="431"/>
      <c r="AE65" s="50"/>
      <c r="AF65" s="50"/>
      <c r="AG65" s="49"/>
    </row>
    <row r="66" spans="2:43" ht="27" customHeight="1" x14ac:dyDescent="0.25">
      <c r="B66" s="1297"/>
      <c r="C66" s="1280"/>
      <c r="D66" s="1206"/>
      <c r="E66" s="1206"/>
      <c r="F66" s="1220"/>
      <c r="G66" s="1175"/>
      <c r="H66" s="1175"/>
      <c r="I66" s="153"/>
      <c r="J66" s="153">
        <v>257</v>
      </c>
      <c r="K66" s="434" t="s">
        <v>380</v>
      </c>
      <c r="L66" s="353" t="s">
        <v>35</v>
      </c>
      <c r="M66" s="153"/>
      <c r="N66" s="212" t="s">
        <v>55</v>
      </c>
      <c r="O66" s="283"/>
      <c r="P66" s="338"/>
      <c r="Q66" s="338"/>
      <c r="R66" s="432">
        <v>33000000</v>
      </c>
      <c r="S66" s="338"/>
      <c r="T66" s="338"/>
      <c r="U66" s="337">
        <f>+R66+T66</f>
        <v>33000000</v>
      </c>
      <c r="V66" s="74">
        <f>+Q66+U66</f>
        <v>33000000</v>
      </c>
      <c r="W66" s="74">
        <f>+Q66+V66</f>
        <v>33000000</v>
      </c>
      <c r="X66" s="327"/>
      <c r="Y66" s="136">
        <v>33000000</v>
      </c>
      <c r="Z66" s="88">
        <f t="shared" si="0"/>
        <v>33000000</v>
      </c>
      <c r="AA66" s="87">
        <v>41390</v>
      </c>
      <c r="AB66" s="50" t="s">
        <v>379</v>
      </c>
      <c r="AC66" s="86" t="s">
        <v>171</v>
      </c>
      <c r="AD66" s="431"/>
      <c r="AE66" s="86" t="s">
        <v>378</v>
      </c>
      <c r="AF66" s="50"/>
      <c r="AG66" s="49"/>
      <c r="AH66" s="3">
        <f>+AI66/Z66</f>
        <v>0</v>
      </c>
      <c r="AI66" s="2">
        <v>0</v>
      </c>
    </row>
    <row r="67" spans="2:43" ht="25.5" customHeight="1" x14ac:dyDescent="0.25">
      <c r="B67" s="1297"/>
      <c r="C67" s="1280"/>
      <c r="D67" s="1206"/>
      <c r="E67" s="1206"/>
      <c r="F67" s="1220"/>
      <c r="G67" s="1175"/>
      <c r="H67" s="1175"/>
      <c r="I67" s="153"/>
      <c r="J67" s="153"/>
      <c r="K67" s="434" t="s">
        <v>377</v>
      </c>
      <c r="L67" s="353" t="s">
        <v>47</v>
      </c>
      <c r="M67" s="153"/>
      <c r="N67" s="212" t="s">
        <v>55</v>
      </c>
      <c r="O67" s="283"/>
      <c r="P67" s="338"/>
      <c r="Q67" s="338"/>
      <c r="R67" s="432">
        <f>87647333-12939238-17011830-57696265</f>
        <v>0</v>
      </c>
      <c r="S67" s="338"/>
      <c r="T67" s="338"/>
      <c r="U67" s="337">
        <f>+R67+T67</f>
        <v>0</v>
      </c>
      <c r="V67" s="74">
        <f>+Q67+U67</f>
        <v>0</v>
      </c>
      <c r="W67" s="74">
        <f>+Q67+V67</f>
        <v>0</v>
      </c>
      <c r="X67" s="327"/>
      <c r="Y67" s="50"/>
      <c r="Z67" s="88">
        <f t="shared" si="0"/>
        <v>0</v>
      </c>
      <c r="AA67" s="50"/>
      <c r="AB67" s="50"/>
      <c r="AC67" s="50"/>
      <c r="AD67" s="431"/>
      <c r="AE67" s="50"/>
      <c r="AF67" s="50"/>
      <c r="AG67" s="49"/>
      <c r="AO67" s="440">
        <f>+R67</f>
        <v>0</v>
      </c>
      <c r="AQ67" s="1">
        <f>2426333+26776653+2362134+9394664</f>
        <v>40959784</v>
      </c>
    </row>
    <row r="68" spans="2:43" ht="38.25" customHeight="1" x14ac:dyDescent="0.25">
      <c r="B68" s="1297"/>
      <c r="C68" s="1280"/>
      <c r="D68" s="1206"/>
      <c r="E68" s="1206"/>
      <c r="F68" s="1220"/>
      <c r="G68" s="439"/>
      <c r="H68" s="1175"/>
      <c r="I68" s="153" t="s">
        <v>28</v>
      </c>
      <c r="J68" s="153">
        <v>306</v>
      </c>
      <c r="K68" s="460" t="s">
        <v>376</v>
      </c>
      <c r="L68" s="353" t="s">
        <v>39</v>
      </c>
      <c r="M68" s="153">
        <v>1</v>
      </c>
      <c r="N68" s="353" t="s">
        <v>368</v>
      </c>
      <c r="O68" s="283"/>
      <c r="P68" s="338"/>
      <c r="Q68" s="338"/>
      <c r="R68" s="461">
        <v>1856000</v>
      </c>
      <c r="S68" s="338"/>
      <c r="T68" s="338"/>
      <c r="U68" s="337"/>
      <c r="V68" s="75"/>
      <c r="W68" s="74">
        <f t="shared" ref="W68:W78" si="13">+O68+R68</f>
        <v>1856000</v>
      </c>
      <c r="X68" s="327"/>
      <c r="Y68" s="137">
        <v>1856000</v>
      </c>
      <c r="Z68" s="88">
        <f t="shared" si="0"/>
        <v>1856000</v>
      </c>
      <c r="AA68" s="87">
        <v>41535</v>
      </c>
      <c r="AB68" s="50">
        <v>108</v>
      </c>
      <c r="AC68" s="50" t="s">
        <v>375</v>
      </c>
      <c r="AD68" s="431"/>
      <c r="AE68" s="50"/>
      <c r="AF68" s="50"/>
      <c r="AG68" s="49"/>
      <c r="AH68" s="3">
        <f>+AI68/Z68</f>
        <v>0</v>
      </c>
      <c r="AI68" s="2">
        <v>0</v>
      </c>
      <c r="AO68" s="440"/>
    </row>
    <row r="69" spans="2:43" ht="67.5" customHeight="1" x14ac:dyDescent="0.25">
      <c r="B69" s="1297"/>
      <c r="C69" s="1280"/>
      <c r="D69" s="1206"/>
      <c r="E69" s="1206"/>
      <c r="F69" s="1220"/>
      <c r="G69" s="439"/>
      <c r="H69" s="1175"/>
      <c r="I69" s="153"/>
      <c r="J69" s="153"/>
      <c r="K69" s="359" t="s">
        <v>374</v>
      </c>
      <c r="L69" s="359"/>
      <c r="M69" s="410"/>
      <c r="N69" s="359"/>
      <c r="O69" s="357"/>
      <c r="P69" s="357"/>
      <c r="Q69" s="357"/>
      <c r="R69" s="458">
        <f>2426333-1856000</f>
        <v>570333</v>
      </c>
      <c r="S69" s="357"/>
      <c r="T69" s="357"/>
      <c r="U69" s="450"/>
      <c r="V69" s="450"/>
      <c r="W69" s="443">
        <f t="shared" si="13"/>
        <v>570333</v>
      </c>
      <c r="X69" s="327"/>
      <c r="Y69" s="137"/>
      <c r="Z69" s="88">
        <f t="shared" si="0"/>
        <v>0</v>
      </c>
      <c r="AA69" s="87"/>
      <c r="AB69" s="50"/>
      <c r="AC69" s="50"/>
      <c r="AD69" s="431"/>
      <c r="AE69" s="50"/>
      <c r="AF69" s="50"/>
      <c r="AG69" s="49"/>
      <c r="AO69" s="440"/>
    </row>
    <row r="70" spans="2:43" ht="74.25" customHeight="1" x14ac:dyDescent="0.25">
      <c r="B70" s="1297"/>
      <c r="C70" s="1280"/>
      <c r="D70" s="1206"/>
      <c r="E70" s="1206"/>
      <c r="F70" s="1220"/>
      <c r="G70" s="439"/>
      <c r="H70" s="1175"/>
      <c r="I70" s="153"/>
      <c r="J70" s="353">
        <v>307</v>
      </c>
      <c r="K70" s="460" t="s">
        <v>372</v>
      </c>
      <c r="L70" s="353" t="s">
        <v>39</v>
      </c>
      <c r="M70" s="153">
        <v>1</v>
      </c>
      <c r="N70" s="353" t="s">
        <v>46</v>
      </c>
      <c r="O70" s="283"/>
      <c r="P70" s="338"/>
      <c r="Q70" s="338"/>
      <c r="R70" s="459">
        <v>26148105</v>
      </c>
      <c r="S70" s="338"/>
      <c r="T70" s="338"/>
      <c r="U70" s="337"/>
      <c r="V70" s="75"/>
      <c r="W70" s="74">
        <f t="shared" si="13"/>
        <v>26148105</v>
      </c>
      <c r="X70" s="327"/>
      <c r="Y70" s="137">
        <v>26148105</v>
      </c>
      <c r="Z70" s="88">
        <f t="shared" si="0"/>
        <v>26148105</v>
      </c>
      <c r="AA70" s="87">
        <v>41528</v>
      </c>
      <c r="AB70" s="50">
        <v>102</v>
      </c>
      <c r="AC70" s="50" t="s">
        <v>373</v>
      </c>
      <c r="AD70" s="431"/>
      <c r="AE70" s="50"/>
      <c r="AF70" s="50"/>
      <c r="AG70" s="49"/>
      <c r="AH70" s="3">
        <f>+AI70/Z70</f>
        <v>0</v>
      </c>
      <c r="AI70" s="2">
        <v>0</v>
      </c>
      <c r="AO70" s="440"/>
    </row>
    <row r="71" spans="2:43" ht="18.75" customHeight="1" x14ac:dyDescent="0.25">
      <c r="B71" s="1297"/>
      <c r="C71" s="1280"/>
      <c r="D71" s="1206"/>
      <c r="E71" s="1206"/>
      <c r="F71" s="1220"/>
      <c r="G71" s="439"/>
      <c r="H71" s="1175"/>
      <c r="I71" s="153"/>
      <c r="J71" s="353"/>
      <c r="K71" s="460" t="s">
        <v>372</v>
      </c>
      <c r="L71" s="353"/>
      <c r="M71" s="153"/>
      <c r="N71" s="353"/>
      <c r="O71" s="283"/>
      <c r="P71" s="338"/>
      <c r="Q71" s="338"/>
      <c r="R71" s="459">
        <f>26776653-26148105-628548</f>
        <v>0</v>
      </c>
      <c r="S71" s="338"/>
      <c r="T71" s="338"/>
      <c r="U71" s="337"/>
      <c r="V71" s="75"/>
      <c r="W71" s="74">
        <f t="shared" si="13"/>
        <v>0</v>
      </c>
      <c r="X71" s="327"/>
      <c r="Y71" s="137"/>
      <c r="Z71" s="88">
        <f t="shared" si="0"/>
        <v>0</v>
      </c>
      <c r="AA71" s="87"/>
      <c r="AB71" s="50"/>
      <c r="AC71" s="50"/>
      <c r="AD71" s="431"/>
      <c r="AE71" s="50"/>
      <c r="AF71" s="50"/>
      <c r="AG71" s="49"/>
      <c r="AO71" s="440"/>
    </row>
    <row r="72" spans="2:43" ht="36" customHeight="1" x14ac:dyDescent="0.25">
      <c r="B72" s="1297"/>
      <c r="C72" s="1280"/>
      <c r="D72" s="1206"/>
      <c r="E72" s="1206"/>
      <c r="F72" s="1220"/>
      <c r="G72" s="439"/>
      <c r="H72" s="1175"/>
      <c r="I72" s="153"/>
      <c r="J72" s="353">
        <v>308</v>
      </c>
      <c r="K72" s="460" t="s">
        <v>370</v>
      </c>
      <c r="L72" s="353" t="s">
        <v>39</v>
      </c>
      <c r="M72" s="153">
        <v>1</v>
      </c>
      <c r="N72" s="353" t="s">
        <v>368</v>
      </c>
      <c r="O72" s="283"/>
      <c r="P72" s="338"/>
      <c r="Q72" s="338"/>
      <c r="R72" s="459">
        <v>2139721</v>
      </c>
      <c r="S72" s="338"/>
      <c r="T72" s="338"/>
      <c r="U72" s="337"/>
      <c r="V72" s="75"/>
      <c r="W72" s="74">
        <f t="shared" si="13"/>
        <v>2139721</v>
      </c>
      <c r="X72" s="327"/>
      <c r="Y72" s="137">
        <v>2139721</v>
      </c>
      <c r="Z72" s="88">
        <f t="shared" si="0"/>
        <v>2139721</v>
      </c>
      <c r="AA72" s="87">
        <v>41519</v>
      </c>
      <c r="AB72" s="50">
        <v>92</v>
      </c>
      <c r="AC72" s="86" t="s">
        <v>371</v>
      </c>
      <c r="AD72" s="431"/>
      <c r="AE72" s="50"/>
      <c r="AF72" s="50"/>
      <c r="AG72" s="49"/>
      <c r="AH72" s="3">
        <f>+AI72/Z72</f>
        <v>0</v>
      </c>
      <c r="AI72" s="2">
        <v>0</v>
      </c>
      <c r="AO72" s="440"/>
    </row>
    <row r="73" spans="2:43" ht="38.25" customHeight="1" x14ac:dyDescent="0.25">
      <c r="B73" s="1297"/>
      <c r="C73" s="1280"/>
      <c r="D73" s="1206"/>
      <c r="E73" s="1206"/>
      <c r="F73" s="1220"/>
      <c r="G73" s="439"/>
      <c r="H73" s="1175"/>
      <c r="I73" s="153"/>
      <c r="J73" s="353"/>
      <c r="K73" s="460" t="s">
        <v>370</v>
      </c>
      <c r="L73" s="353"/>
      <c r="M73" s="153"/>
      <c r="N73" s="353"/>
      <c r="O73" s="283"/>
      <c r="P73" s="338"/>
      <c r="Q73" s="338"/>
      <c r="R73" s="459">
        <f>2362134-2139721-222413</f>
        <v>0</v>
      </c>
      <c r="S73" s="338"/>
      <c r="T73" s="338"/>
      <c r="U73" s="337"/>
      <c r="V73" s="75"/>
      <c r="W73" s="74">
        <f t="shared" si="13"/>
        <v>0</v>
      </c>
      <c r="X73" s="327"/>
      <c r="Y73" s="137"/>
      <c r="Z73" s="88">
        <f t="shared" si="0"/>
        <v>0</v>
      </c>
      <c r="AA73" s="87"/>
      <c r="AB73" s="50"/>
      <c r="AC73" s="86"/>
      <c r="AD73" s="431"/>
      <c r="AE73" s="50"/>
      <c r="AF73" s="50"/>
      <c r="AG73" s="49"/>
      <c r="AO73" s="440"/>
    </row>
    <row r="74" spans="2:43" ht="35.25" customHeight="1" x14ac:dyDescent="0.25">
      <c r="B74" s="1297"/>
      <c r="C74" s="1280"/>
      <c r="D74" s="1206"/>
      <c r="E74" s="1206"/>
      <c r="F74" s="1220"/>
      <c r="G74" s="439"/>
      <c r="H74" s="1175"/>
      <c r="I74" s="153" t="s">
        <v>28</v>
      </c>
      <c r="J74" s="353">
        <v>309</v>
      </c>
      <c r="K74" s="460" t="s">
        <v>369</v>
      </c>
      <c r="L74" s="353" t="s">
        <v>39</v>
      </c>
      <c r="M74" s="153">
        <v>1</v>
      </c>
      <c r="N74" s="353" t="s">
        <v>368</v>
      </c>
      <c r="O74" s="283"/>
      <c r="P74" s="338"/>
      <c r="Q74" s="338"/>
      <c r="R74" s="459">
        <v>5354420</v>
      </c>
      <c r="S74" s="338"/>
      <c r="T74" s="338"/>
      <c r="U74" s="337"/>
      <c r="V74" s="75"/>
      <c r="W74" s="74">
        <f t="shared" si="13"/>
        <v>5354420</v>
      </c>
      <c r="X74" s="327"/>
      <c r="Y74" s="137">
        <v>5354420</v>
      </c>
      <c r="Z74" s="88">
        <f t="shared" si="0"/>
        <v>5354420</v>
      </c>
      <c r="AA74" s="87">
        <v>41540</v>
      </c>
      <c r="AB74" s="50">
        <v>112</v>
      </c>
      <c r="AC74" s="50" t="s">
        <v>365</v>
      </c>
      <c r="AD74" s="431"/>
      <c r="AE74" s="50"/>
      <c r="AF74" s="50"/>
      <c r="AG74" s="49"/>
      <c r="AH74" s="3">
        <f>+AI74/Z74</f>
        <v>0</v>
      </c>
      <c r="AI74" s="2">
        <v>0</v>
      </c>
      <c r="AO74" s="440"/>
    </row>
    <row r="75" spans="2:43" ht="82.5" customHeight="1" x14ac:dyDescent="0.25">
      <c r="B75" s="1297"/>
      <c r="C75" s="1280"/>
      <c r="D75" s="1206"/>
      <c r="E75" s="1206"/>
      <c r="F75" s="1220"/>
      <c r="G75" s="439"/>
      <c r="H75" s="1175"/>
      <c r="I75" s="153"/>
      <c r="J75" s="353"/>
      <c r="K75" s="359" t="s">
        <v>367</v>
      </c>
      <c r="L75" s="359"/>
      <c r="M75" s="410"/>
      <c r="N75" s="359"/>
      <c r="O75" s="357"/>
      <c r="P75" s="357"/>
      <c r="Q75" s="357"/>
      <c r="R75" s="458">
        <f>9394664-5354420</f>
        <v>4040244</v>
      </c>
      <c r="S75" s="357"/>
      <c r="T75" s="357"/>
      <c r="U75" s="450"/>
      <c r="V75" s="450"/>
      <c r="W75" s="443">
        <f t="shared" si="13"/>
        <v>4040244</v>
      </c>
      <c r="X75" s="327"/>
      <c r="Y75" s="133"/>
      <c r="Z75" s="88">
        <f t="shared" si="0"/>
        <v>0</v>
      </c>
      <c r="AA75" s="50"/>
      <c r="AB75" s="50"/>
      <c r="AC75" s="50"/>
      <c r="AD75" s="431"/>
      <c r="AE75" s="50"/>
      <c r="AF75" s="50"/>
      <c r="AG75" s="49"/>
      <c r="AO75" s="440"/>
    </row>
    <row r="76" spans="2:43" ht="41.25" customHeight="1" x14ac:dyDescent="0.25">
      <c r="B76" s="1297"/>
      <c r="C76" s="1280"/>
      <c r="D76" s="1206"/>
      <c r="E76" s="1206"/>
      <c r="F76" s="1220"/>
      <c r="G76" s="439"/>
      <c r="H76" s="1175"/>
      <c r="I76" s="153" t="s">
        <v>28</v>
      </c>
      <c r="J76" s="353">
        <v>300</v>
      </c>
      <c r="K76" s="434" t="s">
        <v>366</v>
      </c>
      <c r="L76" s="353" t="s">
        <v>358</v>
      </c>
      <c r="M76" s="153">
        <v>1</v>
      </c>
      <c r="N76" s="95" t="s">
        <v>34</v>
      </c>
      <c r="O76" s="283"/>
      <c r="P76" s="338"/>
      <c r="Q76" s="338"/>
      <c r="R76" s="432">
        <v>3980000</v>
      </c>
      <c r="S76" s="338"/>
      <c r="T76" s="338"/>
      <c r="U76" s="337"/>
      <c r="V76" s="337"/>
      <c r="W76" s="74">
        <f t="shared" si="13"/>
        <v>3980000</v>
      </c>
      <c r="X76" s="327"/>
      <c r="Y76" s="137">
        <v>3980000</v>
      </c>
      <c r="Z76" s="88">
        <f t="shared" si="0"/>
        <v>3980000</v>
      </c>
      <c r="AA76" s="87">
        <v>41540</v>
      </c>
      <c r="AB76" s="50">
        <v>112</v>
      </c>
      <c r="AC76" s="50" t="s">
        <v>365</v>
      </c>
      <c r="AD76" s="431"/>
      <c r="AE76" s="50"/>
      <c r="AF76" s="50"/>
      <c r="AG76" s="49"/>
      <c r="AH76" s="3">
        <f>+AI76/Z76</f>
        <v>0</v>
      </c>
      <c r="AI76" s="2">
        <v>0</v>
      </c>
      <c r="AO76" s="440"/>
    </row>
    <row r="77" spans="2:43" ht="82.5" customHeight="1" x14ac:dyDescent="0.25">
      <c r="B77" s="1297"/>
      <c r="C77" s="1280"/>
      <c r="D77" s="1206"/>
      <c r="E77" s="1206"/>
      <c r="F77" s="1220"/>
      <c r="G77" s="439"/>
      <c r="H77" s="439"/>
      <c r="I77" s="153"/>
      <c r="J77" s="353"/>
      <c r="K77" s="452" t="s">
        <v>364</v>
      </c>
      <c r="L77" s="359"/>
      <c r="M77" s="410"/>
      <c r="N77" s="410"/>
      <c r="O77" s="357"/>
      <c r="P77" s="357"/>
      <c r="Q77" s="357"/>
      <c r="R77" s="451">
        <f>3993333-3980000</f>
        <v>13333</v>
      </c>
      <c r="S77" s="357"/>
      <c r="T77" s="357"/>
      <c r="U77" s="450"/>
      <c r="V77" s="450"/>
      <c r="W77" s="443">
        <f t="shared" si="13"/>
        <v>13333</v>
      </c>
      <c r="X77" s="327"/>
      <c r="Y77" s="137"/>
      <c r="Z77" s="88">
        <f t="shared" si="0"/>
        <v>0</v>
      </c>
      <c r="AA77" s="87"/>
      <c r="AB77" s="50"/>
      <c r="AC77" s="50"/>
      <c r="AD77" s="431"/>
      <c r="AE77" s="50"/>
      <c r="AF77" s="50"/>
      <c r="AG77" s="49"/>
      <c r="AO77" s="440"/>
    </row>
    <row r="78" spans="2:43" ht="89.25" customHeight="1" x14ac:dyDescent="0.25">
      <c r="B78" s="1297"/>
      <c r="C78" s="1280"/>
      <c r="D78" s="1206"/>
      <c r="E78" s="1206"/>
      <c r="F78" s="1220"/>
      <c r="G78" s="439"/>
      <c r="H78" s="439"/>
      <c r="I78" s="153" t="s">
        <v>28</v>
      </c>
      <c r="J78" s="353">
        <v>302</v>
      </c>
      <c r="K78" s="434" t="s">
        <v>363</v>
      </c>
      <c r="L78" s="353" t="s">
        <v>358</v>
      </c>
      <c r="M78" s="153">
        <v>1</v>
      </c>
      <c r="N78" s="212" t="s">
        <v>34</v>
      </c>
      <c r="O78" s="283"/>
      <c r="P78" s="338"/>
      <c r="Q78" s="338"/>
      <c r="R78" s="457">
        <v>494768</v>
      </c>
      <c r="S78" s="338"/>
      <c r="T78" s="338"/>
      <c r="U78" s="337"/>
      <c r="V78" s="75"/>
      <c r="W78" s="74">
        <f t="shared" si="13"/>
        <v>494768</v>
      </c>
      <c r="X78" s="327"/>
      <c r="Y78" s="137">
        <v>494768</v>
      </c>
      <c r="Z78" s="88">
        <f t="shared" si="0"/>
        <v>494768</v>
      </c>
      <c r="AA78" s="87">
        <v>41534</v>
      </c>
      <c r="AB78" s="50">
        <v>106</v>
      </c>
      <c r="AC78" s="50" t="s">
        <v>362</v>
      </c>
      <c r="AD78" s="431"/>
      <c r="AE78" s="50"/>
      <c r="AF78" s="50"/>
      <c r="AG78" s="49"/>
      <c r="AH78" s="456">
        <f>+AI78/Z78</f>
        <v>8.5777071273809131</v>
      </c>
      <c r="AI78" s="455">
        <v>4243975</v>
      </c>
      <c r="AJ78" s="1" t="s">
        <v>361</v>
      </c>
      <c r="AP78" s="440"/>
    </row>
    <row r="79" spans="2:43" ht="90.75" customHeight="1" x14ac:dyDescent="0.25">
      <c r="B79" s="1297"/>
      <c r="C79" s="1280"/>
      <c r="D79" s="1206"/>
      <c r="E79" s="1206"/>
      <c r="F79" s="1220"/>
      <c r="G79" s="169"/>
      <c r="H79" s="439"/>
      <c r="I79" s="153"/>
      <c r="J79" s="353"/>
      <c r="K79" s="452" t="s">
        <v>360</v>
      </c>
      <c r="L79" s="359"/>
      <c r="M79" s="410"/>
      <c r="N79" s="410"/>
      <c r="O79" s="357"/>
      <c r="P79" s="357"/>
      <c r="Q79" s="357"/>
      <c r="R79" s="451">
        <v>277224</v>
      </c>
      <c r="S79" s="357"/>
      <c r="T79" s="357"/>
      <c r="U79" s="450"/>
      <c r="V79" s="450"/>
      <c r="W79" s="443">
        <v>277224</v>
      </c>
      <c r="X79" s="327"/>
      <c r="Y79" s="137"/>
      <c r="Z79" s="88">
        <f t="shared" si="0"/>
        <v>0</v>
      </c>
      <c r="AA79" s="50"/>
      <c r="AB79" s="50"/>
      <c r="AC79" s="50"/>
      <c r="AD79" s="431"/>
      <c r="AE79" s="50"/>
      <c r="AF79" s="50"/>
      <c r="AG79" s="49"/>
      <c r="AP79" s="440"/>
    </row>
    <row r="80" spans="2:43" ht="51.75" customHeight="1" x14ac:dyDescent="0.25">
      <c r="B80" s="1297" t="str">
        <f t="shared" ref="B80:G80" si="14">+B61</f>
        <v>Proyecto No. 702 : Investigación e innovación para la construcción de conocimiento educativo y pedagógico.</v>
      </c>
      <c r="C80" s="1280" t="str">
        <f t="shared" si="14"/>
        <v>ESCUELA, CURRICULO Y PEDAOGÍA</v>
      </c>
      <c r="D80" s="1206" t="str">
        <f t="shared" si="14"/>
        <v>Desarrollar 23 estudios 
en Escuela, currículo y pedagogía</v>
      </c>
      <c r="E80" s="1206" t="str">
        <f t="shared" si="14"/>
        <v>Desarrollar 7 estudios en Escuela Curriculo y Pedagogía en el año 2013 y terminar el 0,80% del estudio del año 2012.</v>
      </c>
      <c r="F80" s="1220" t="str">
        <f t="shared" si="14"/>
        <v>Porcentaje de avance de los Estudios desarrollados en Escuela, currículo y pedagogía.</v>
      </c>
      <c r="G80" s="1175" t="str">
        <f t="shared" si="14"/>
        <v>Proyecto de ciencia y tecnología en la localidad de Usaquen  Convenio 2570 del 2012 (actividad del año 2012</v>
      </c>
      <c r="H80" s="439"/>
      <c r="I80" s="353"/>
      <c r="J80" s="353">
        <v>301</v>
      </c>
      <c r="K80" s="434" t="s">
        <v>359</v>
      </c>
      <c r="L80" s="353" t="s">
        <v>358</v>
      </c>
      <c r="M80" s="153">
        <v>1</v>
      </c>
      <c r="N80" s="95" t="s">
        <v>34</v>
      </c>
      <c r="O80" s="283"/>
      <c r="P80" s="338"/>
      <c r="Q80" s="338"/>
      <c r="R80" s="432">
        <v>10020312</v>
      </c>
      <c r="S80" s="338"/>
      <c r="T80" s="338"/>
      <c r="U80" s="337"/>
      <c r="V80" s="337"/>
      <c r="W80" s="74">
        <f t="shared" ref="W80:W89" si="15">+O80+R80</f>
        <v>10020312</v>
      </c>
      <c r="X80" s="327"/>
      <c r="Y80" s="137">
        <v>10020312</v>
      </c>
      <c r="Z80" s="88">
        <f t="shared" si="0"/>
        <v>10020312</v>
      </c>
      <c r="AA80" s="454">
        <v>41500</v>
      </c>
      <c r="AB80" s="453">
        <v>82</v>
      </c>
      <c r="AC80" s="453" t="s">
        <v>357</v>
      </c>
      <c r="AD80" s="441"/>
      <c r="AE80" s="50"/>
      <c r="AF80" s="50"/>
      <c r="AG80" s="49"/>
      <c r="AH80" s="3">
        <f>+AI80/Z80</f>
        <v>0</v>
      </c>
      <c r="AI80" s="2">
        <v>0</v>
      </c>
      <c r="AO80" s="440"/>
    </row>
    <row r="81" spans="2:41" ht="63.75" x14ac:dyDescent="0.25">
      <c r="B81" s="1297"/>
      <c r="C81" s="1280"/>
      <c r="D81" s="1206"/>
      <c r="E81" s="1206"/>
      <c r="F81" s="1220"/>
      <c r="G81" s="1175"/>
      <c r="H81" s="439"/>
      <c r="I81" s="353"/>
      <c r="J81" s="353"/>
      <c r="K81" s="452" t="s">
        <v>356</v>
      </c>
      <c r="L81" s="359"/>
      <c r="M81" s="410"/>
      <c r="N81" s="410"/>
      <c r="O81" s="357"/>
      <c r="P81" s="357"/>
      <c r="Q81" s="357"/>
      <c r="R81" s="451">
        <f>12246505-10020312-69157</f>
        <v>2157036</v>
      </c>
      <c r="S81" s="357"/>
      <c r="T81" s="357"/>
      <c r="U81" s="450"/>
      <c r="V81" s="450"/>
      <c r="W81" s="443">
        <f t="shared" si="15"/>
        <v>2157036</v>
      </c>
      <c r="X81" s="327"/>
      <c r="Y81" s="137"/>
      <c r="Z81" s="88">
        <f t="shared" si="0"/>
        <v>0</v>
      </c>
      <c r="AA81" s="87"/>
      <c r="AB81" s="50"/>
      <c r="AC81" s="86"/>
      <c r="AD81" s="441"/>
      <c r="AE81" s="50"/>
      <c r="AF81" s="50"/>
      <c r="AG81" s="49"/>
      <c r="AO81" s="440"/>
    </row>
    <row r="82" spans="2:41" ht="63.75" x14ac:dyDescent="0.25">
      <c r="B82" s="1297"/>
      <c r="C82" s="1280"/>
      <c r="D82" s="1206"/>
      <c r="E82" s="1206"/>
      <c r="F82" s="1220"/>
      <c r="G82" s="1175"/>
      <c r="H82" s="439"/>
      <c r="I82" s="153" t="s">
        <v>28</v>
      </c>
      <c r="J82" s="353"/>
      <c r="K82" s="449" t="s">
        <v>355</v>
      </c>
      <c r="L82" s="446"/>
      <c r="M82" s="121"/>
      <c r="N82" s="199"/>
      <c r="O82" s="287"/>
      <c r="P82" s="314"/>
      <c r="Q82" s="314"/>
      <c r="R82" s="445">
        <v>2395556</v>
      </c>
      <c r="S82" s="314"/>
      <c r="T82" s="314"/>
      <c r="U82" s="313"/>
      <c r="V82" s="444"/>
      <c r="W82" s="312">
        <f t="shared" si="15"/>
        <v>2395556</v>
      </c>
      <c r="X82" s="327"/>
      <c r="Y82" s="448">
        <v>2208457</v>
      </c>
      <c r="Z82" s="88">
        <f t="shared" si="0"/>
        <v>2208457</v>
      </c>
      <c r="AA82" s="87">
        <v>41599</v>
      </c>
      <c r="AB82" s="50">
        <v>126</v>
      </c>
      <c r="AC82" s="86" t="s">
        <v>354</v>
      </c>
      <c r="AD82" s="441"/>
      <c r="AE82" s="50"/>
      <c r="AF82" s="50"/>
      <c r="AG82" s="49"/>
      <c r="AH82" s="3">
        <f>+AI82/Z82</f>
        <v>0</v>
      </c>
      <c r="AI82" s="2">
        <v>0</v>
      </c>
      <c r="AO82" s="440"/>
    </row>
    <row r="83" spans="2:41" ht="79.5" customHeight="1" x14ac:dyDescent="0.25">
      <c r="B83" s="1297"/>
      <c r="C83" s="1280"/>
      <c r="D83" s="1206"/>
      <c r="E83" s="1206"/>
      <c r="F83" s="1220"/>
      <c r="G83" s="1175"/>
      <c r="H83" s="439"/>
      <c r="I83" s="153"/>
      <c r="J83" s="353"/>
      <c r="K83" s="447" t="s">
        <v>353</v>
      </c>
      <c r="L83" s="446"/>
      <c r="M83" s="121"/>
      <c r="N83" s="199"/>
      <c r="O83" s="287"/>
      <c r="P83" s="314"/>
      <c r="Q83" s="314"/>
      <c r="R83" s="445">
        <v>187099</v>
      </c>
      <c r="S83" s="314"/>
      <c r="T83" s="314"/>
      <c r="U83" s="313"/>
      <c r="V83" s="444"/>
      <c r="W83" s="443">
        <f t="shared" si="15"/>
        <v>187099</v>
      </c>
      <c r="X83" s="327"/>
      <c r="Y83" s="442"/>
      <c r="Z83" s="88">
        <f t="shared" si="0"/>
        <v>0</v>
      </c>
      <c r="AA83" s="87"/>
      <c r="AB83" s="50"/>
      <c r="AC83" s="86"/>
      <c r="AD83" s="441"/>
      <c r="AE83" s="50"/>
      <c r="AF83" s="50"/>
      <c r="AG83" s="49"/>
      <c r="AO83" s="440"/>
    </row>
    <row r="84" spans="2:41" ht="66.75" customHeight="1" x14ac:dyDescent="0.25">
      <c r="B84" s="1297"/>
      <c r="C84" s="1280"/>
      <c r="D84" s="1206"/>
      <c r="E84" s="1206"/>
      <c r="F84" s="1220"/>
      <c r="G84" s="1175"/>
      <c r="H84" s="439"/>
      <c r="I84" s="353"/>
      <c r="J84" s="353">
        <v>297</v>
      </c>
      <c r="K84" s="434" t="s">
        <v>351</v>
      </c>
      <c r="L84" s="353" t="s">
        <v>150</v>
      </c>
      <c r="M84" s="153"/>
      <c r="N84" s="433" t="s">
        <v>348</v>
      </c>
      <c r="O84" s="283"/>
      <c r="P84" s="338"/>
      <c r="Q84" s="338"/>
      <c r="R84" s="432">
        <v>2499990</v>
      </c>
      <c r="S84" s="338"/>
      <c r="T84" s="338"/>
      <c r="U84" s="337"/>
      <c r="V84" s="75"/>
      <c r="W84" s="74">
        <f t="shared" si="15"/>
        <v>2499990</v>
      </c>
      <c r="X84" s="327"/>
      <c r="Y84" s="327">
        <v>2499990</v>
      </c>
      <c r="Z84" s="88">
        <f t="shared" si="0"/>
        <v>2499990</v>
      </c>
      <c r="AA84" s="87">
        <v>41494</v>
      </c>
      <c r="AB84" s="50">
        <v>79</v>
      </c>
      <c r="AC84" s="50" t="s">
        <v>352</v>
      </c>
      <c r="AD84" s="431"/>
      <c r="AE84" s="50"/>
      <c r="AF84" s="50"/>
      <c r="AG84" s="49"/>
      <c r="AH84" s="3">
        <f>+AI84/Z84</f>
        <v>0</v>
      </c>
      <c r="AI84" s="2">
        <v>0</v>
      </c>
      <c r="AO84" s="440"/>
    </row>
    <row r="85" spans="2:41" ht="26.25" customHeight="1" x14ac:dyDescent="0.25">
      <c r="B85" s="1297"/>
      <c r="C85" s="1280"/>
      <c r="D85" s="1206"/>
      <c r="E85" s="1206"/>
      <c r="F85" s="1220"/>
      <c r="G85" s="1175"/>
      <c r="H85" s="439"/>
      <c r="I85" s="353"/>
      <c r="J85" s="438"/>
      <c r="K85" s="434" t="s">
        <v>351</v>
      </c>
      <c r="L85" s="353"/>
      <c r="M85" s="153"/>
      <c r="N85" s="433"/>
      <c r="O85" s="283"/>
      <c r="P85" s="338"/>
      <c r="Q85" s="338"/>
      <c r="R85" s="432">
        <f>2513333-2499990-13343</f>
        <v>0</v>
      </c>
      <c r="S85" s="338"/>
      <c r="T85" s="338"/>
      <c r="U85" s="337"/>
      <c r="V85" s="75"/>
      <c r="W85" s="74">
        <f t="shared" si="15"/>
        <v>0</v>
      </c>
      <c r="X85" s="327"/>
      <c r="Y85" s="133"/>
      <c r="Z85" s="88">
        <f t="shared" si="0"/>
        <v>0</v>
      </c>
      <c r="AA85" s="87"/>
      <c r="AB85" s="50"/>
      <c r="AC85" s="50"/>
      <c r="AD85" s="431"/>
      <c r="AE85" s="50"/>
      <c r="AF85" s="50"/>
      <c r="AG85" s="49"/>
      <c r="AO85" s="440"/>
    </row>
    <row r="86" spans="2:41" ht="50.25" customHeight="1" x14ac:dyDescent="0.25">
      <c r="B86" s="1297"/>
      <c r="C86" s="1280"/>
      <c r="D86" s="1206"/>
      <c r="E86" s="1206"/>
      <c r="F86" s="1220"/>
      <c r="G86" s="1175"/>
      <c r="H86" s="439"/>
      <c r="I86" s="353"/>
      <c r="J86" s="353">
        <v>299</v>
      </c>
      <c r="K86" s="434" t="s">
        <v>349</v>
      </c>
      <c r="L86" s="353" t="s">
        <v>150</v>
      </c>
      <c r="M86" s="153"/>
      <c r="N86" s="433" t="s">
        <v>348</v>
      </c>
      <c r="O86" s="283"/>
      <c r="P86" s="338"/>
      <c r="Q86" s="338"/>
      <c r="R86" s="432">
        <v>5138800</v>
      </c>
      <c r="S86" s="338"/>
      <c r="T86" s="338"/>
      <c r="U86" s="337"/>
      <c r="V86" s="75"/>
      <c r="W86" s="74">
        <f t="shared" si="15"/>
        <v>5138800</v>
      </c>
      <c r="X86" s="327"/>
      <c r="Y86" s="327">
        <v>5138800</v>
      </c>
      <c r="Z86" s="88">
        <f t="shared" ref="Z86:Z149" si="16">+X86+Y86</f>
        <v>5138800</v>
      </c>
      <c r="AA86" s="87">
        <v>41494</v>
      </c>
      <c r="AB86" s="50">
        <v>78</v>
      </c>
      <c r="AC86" s="50" t="s">
        <v>350</v>
      </c>
      <c r="AD86" s="431"/>
      <c r="AE86" s="50"/>
      <c r="AF86" s="50"/>
      <c r="AG86" s="49"/>
      <c r="AH86" s="3">
        <f>+AI86/Z86</f>
        <v>0</v>
      </c>
      <c r="AI86" s="2">
        <v>0</v>
      </c>
    </row>
    <row r="87" spans="2:41" ht="48" customHeight="1" x14ac:dyDescent="0.25">
      <c r="B87" s="1297"/>
      <c r="C87" s="1280"/>
      <c r="D87" s="1206"/>
      <c r="E87" s="1206"/>
      <c r="F87" s="1220"/>
      <c r="G87" s="1175"/>
      <c r="H87" s="439"/>
      <c r="I87" s="353"/>
      <c r="J87" s="438"/>
      <c r="K87" s="434" t="s">
        <v>349</v>
      </c>
      <c r="L87" s="353"/>
      <c r="M87" s="153"/>
      <c r="N87" s="433"/>
      <c r="O87" s="283"/>
      <c r="P87" s="338"/>
      <c r="Q87" s="338"/>
      <c r="R87" s="432">
        <f>92200-92200</f>
        <v>0</v>
      </c>
      <c r="S87" s="338"/>
      <c r="T87" s="338"/>
      <c r="U87" s="337"/>
      <c r="V87" s="75"/>
      <c r="W87" s="74">
        <f t="shared" si="15"/>
        <v>0</v>
      </c>
      <c r="X87" s="327"/>
      <c r="Y87" s="327"/>
      <c r="Z87" s="88">
        <f t="shared" si="16"/>
        <v>0</v>
      </c>
      <c r="AA87" s="87"/>
      <c r="AB87" s="50"/>
      <c r="AC87" s="50"/>
      <c r="AD87" s="431"/>
      <c r="AE87" s="50"/>
      <c r="AF87" s="50"/>
      <c r="AG87" s="49"/>
    </row>
    <row r="88" spans="2:41" ht="54" customHeight="1" x14ac:dyDescent="0.25">
      <c r="B88" s="1297"/>
      <c r="C88" s="1280"/>
      <c r="D88" s="1206"/>
      <c r="E88" s="1206"/>
      <c r="F88" s="1220"/>
      <c r="G88" s="1175"/>
      <c r="H88" s="437"/>
      <c r="I88" s="353"/>
      <c r="J88" s="353">
        <v>298</v>
      </c>
      <c r="K88" s="434" t="s">
        <v>346</v>
      </c>
      <c r="L88" s="353" t="s">
        <v>150</v>
      </c>
      <c r="M88" s="153"/>
      <c r="N88" s="433" t="s">
        <v>348</v>
      </c>
      <c r="O88" s="436"/>
      <c r="P88" s="338"/>
      <c r="Q88" s="338"/>
      <c r="R88" s="432">
        <v>3825010</v>
      </c>
      <c r="S88" s="338"/>
      <c r="T88" s="338"/>
      <c r="U88" s="337"/>
      <c r="V88" s="75"/>
      <c r="W88" s="74">
        <f t="shared" si="15"/>
        <v>3825010</v>
      </c>
      <c r="X88" s="327"/>
      <c r="Y88" s="137">
        <v>3825010</v>
      </c>
      <c r="Z88" s="88">
        <f t="shared" si="16"/>
        <v>3825010</v>
      </c>
      <c r="AA88" s="87">
        <v>41488</v>
      </c>
      <c r="AB88" s="50">
        <v>74</v>
      </c>
      <c r="AC88" s="50" t="s">
        <v>347</v>
      </c>
      <c r="AD88" s="431"/>
      <c r="AE88" s="291"/>
      <c r="AF88" s="50"/>
      <c r="AG88" s="49"/>
      <c r="AH88" s="3">
        <f>+AI88/Z88</f>
        <v>0</v>
      </c>
      <c r="AI88" s="2">
        <v>0</v>
      </c>
    </row>
    <row r="89" spans="2:41" ht="0.75" customHeight="1" x14ac:dyDescent="0.25">
      <c r="B89" s="1297"/>
      <c r="C89" s="1280"/>
      <c r="D89" s="1206"/>
      <c r="E89" s="1206"/>
      <c r="F89" s="1220"/>
      <c r="G89" s="1176"/>
      <c r="H89" s="158"/>
      <c r="I89" s="153"/>
      <c r="J89" s="435"/>
      <c r="K89" s="434" t="s">
        <v>346</v>
      </c>
      <c r="L89" s="353"/>
      <c r="M89" s="153"/>
      <c r="N89" s="433"/>
      <c r="O89" s="338"/>
      <c r="P89" s="338"/>
      <c r="Q89" s="338"/>
      <c r="R89" s="432">
        <f>1369895-1369895</f>
        <v>0</v>
      </c>
      <c r="S89" s="338"/>
      <c r="T89" s="338"/>
      <c r="U89" s="337"/>
      <c r="V89" s="75"/>
      <c r="W89" s="74">
        <f t="shared" si="15"/>
        <v>0</v>
      </c>
      <c r="X89" s="327"/>
      <c r="Y89" s="137"/>
      <c r="Z89" s="88">
        <f t="shared" si="16"/>
        <v>0</v>
      </c>
      <c r="AA89" s="87"/>
      <c r="AB89" s="50"/>
      <c r="AC89" s="50"/>
      <c r="AD89" s="431"/>
      <c r="AE89" s="107"/>
      <c r="AF89" s="50"/>
      <c r="AG89" s="49"/>
      <c r="AH89" s="3" t="e">
        <f>+AI89/Z89</f>
        <v>#DIV/0!</v>
      </c>
    </row>
    <row r="90" spans="2:41" ht="24.75" customHeight="1" x14ac:dyDescent="0.25">
      <c r="B90" s="1297"/>
      <c r="C90" s="1280"/>
      <c r="D90" s="1206"/>
      <c r="E90" s="1206"/>
      <c r="F90" s="1220"/>
      <c r="G90" s="1188" t="s">
        <v>23</v>
      </c>
      <c r="H90" s="1188"/>
      <c r="I90" s="1188"/>
      <c r="J90" s="1188"/>
      <c r="K90" s="1188"/>
      <c r="L90" s="1188"/>
      <c r="M90" s="1188"/>
      <c r="N90" s="1188"/>
      <c r="O90" s="82">
        <f>+O61</f>
        <v>0</v>
      </c>
      <c r="P90" s="144" t="e">
        <f>SUM(#REF!)</f>
        <v>#REF!</v>
      </c>
      <c r="Q90" s="144" t="e">
        <f>+O90+P90</f>
        <v>#REF!</v>
      </c>
      <c r="R90" s="82">
        <f>SUM(R61:R89)</f>
        <v>185834432</v>
      </c>
      <c r="S90" s="82">
        <f>SUM(S61:S88)</f>
        <v>0</v>
      </c>
      <c r="T90" s="82">
        <f>SUM(T61:T88)</f>
        <v>0</v>
      </c>
      <c r="U90" s="82">
        <f>SUM(U61:U88)</f>
        <v>45564518</v>
      </c>
      <c r="V90" s="82">
        <f>SUM(V61:V88)</f>
        <v>45564518</v>
      </c>
      <c r="W90" s="82">
        <f>SUM(W61:W89)</f>
        <v>185834432</v>
      </c>
      <c r="X90" s="82">
        <f>SUM(X61:X88)</f>
        <v>0</v>
      </c>
      <c r="Y90" s="82">
        <f>SUM(Y61:Y89)</f>
        <v>164621436</v>
      </c>
      <c r="Z90" s="88">
        <f t="shared" si="16"/>
        <v>164621436</v>
      </c>
      <c r="AA90" s="277"/>
      <c r="AB90" s="78"/>
      <c r="AC90" s="78"/>
      <c r="AD90" s="79">
        <f>+Z90/W90</f>
        <v>0.88585002374586863</v>
      </c>
      <c r="AE90" s="78"/>
      <c r="AF90" s="430">
        <f>SUM(AF61:AF89)</f>
        <v>9770000</v>
      </c>
      <c r="AG90" s="429">
        <f>SUM(AG61:AG89)</f>
        <v>9555853</v>
      </c>
    </row>
    <row r="91" spans="2:41" ht="26.25" customHeight="1" x14ac:dyDescent="0.25">
      <c r="B91" s="1299"/>
      <c r="C91" s="1298"/>
      <c r="D91" s="1207"/>
      <c r="E91" s="1207"/>
      <c r="F91" s="1221"/>
      <c r="G91" s="1204" t="s">
        <v>345</v>
      </c>
      <c r="H91" s="1204"/>
      <c r="I91" s="1204"/>
      <c r="J91" s="1204"/>
      <c r="K91" s="1204"/>
      <c r="L91" s="427"/>
      <c r="M91" s="427"/>
      <c r="N91" s="427"/>
      <c r="O91" s="74">
        <f t="shared" ref="O91:Y91" si="17">+O23+O25+O28+O37+O43+O57+O60+O90</f>
        <v>1172634000</v>
      </c>
      <c r="P91" s="74" t="e">
        <f t="shared" si="17"/>
        <v>#REF!</v>
      </c>
      <c r="Q91" s="74" t="e">
        <f t="shared" si="17"/>
        <v>#REF!</v>
      </c>
      <c r="R91" s="74">
        <f t="shared" si="17"/>
        <v>288394932</v>
      </c>
      <c r="S91" s="74" t="e">
        <f t="shared" si="17"/>
        <v>#REF!</v>
      </c>
      <c r="T91" s="74">
        <f t="shared" si="17"/>
        <v>102560500</v>
      </c>
      <c r="U91" s="74" t="e">
        <f t="shared" si="17"/>
        <v>#REF!</v>
      </c>
      <c r="V91" s="74" t="e">
        <f t="shared" si="17"/>
        <v>#REF!</v>
      </c>
      <c r="W91" s="74">
        <f t="shared" si="17"/>
        <v>1461028932</v>
      </c>
      <c r="X91" s="74">
        <f t="shared" si="17"/>
        <v>1172634000</v>
      </c>
      <c r="Y91" s="74">
        <f t="shared" si="17"/>
        <v>267181936</v>
      </c>
      <c r="Z91" s="88">
        <f t="shared" si="16"/>
        <v>1439815936</v>
      </c>
      <c r="AA91" s="71"/>
      <c r="AB91" s="71"/>
      <c r="AC91" s="71"/>
      <c r="AD91" s="70">
        <f>+Z91/W91</f>
        <v>0.98548078307322662</v>
      </c>
      <c r="AE91" s="71"/>
      <c r="AF91" s="141">
        <f>+AF23+AF25+AF28+AF37+AF43+AF57+AF60+AF90</f>
        <v>112330500</v>
      </c>
      <c r="AG91" s="140">
        <f>+AG23+AG25+AG28+AG37+AG43+AG57+AG60+AG90</f>
        <v>112116353</v>
      </c>
    </row>
    <row r="92" spans="2:41" ht="25.5" x14ac:dyDescent="0.25">
      <c r="B92" s="1296" t="str">
        <f>+B61</f>
        <v>Proyecto No. 702 : Investigación e innovación para la construcción de conocimiento educativo y pedagógico.</v>
      </c>
      <c r="C92" s="1296" t="str">
        <f>+C61</f>
        <v>ESCUELA, CURRICULO Y PEDAOGÍA</v>
      </c>
      <c r="D92" s="1207" t="s">
        <v>344</v>
      </c>
      <c r="E92" s="1207" t="s">
        <v>343</v>
      </c>
      <c r="F92" s="1207" t="s">
        <v>342</v>
      </c>
      <c r="G92" s="1174" t="s">
        <v>341</v>
      </c>
      <c r="H92" s="1174" t="s">
        <v>340</v>
      </c>
      <c r="I92" s="153" t="s">
        <v>28</v>
      </c>
      <c r="J92" s="153">
        <v>207</v>
      </c>
      <c r="K92" s="246" t="s">
        <v>339</v>
      </c>
      <c r="L92" s="153" t="s">
        <v>331</v>
      </c>
      <c r="M92" s="153">
        <v>9</v>
      </c>
      <c r="N92" s="212" t="s">
        <v>55</v>
      </c>
      <c r="O92" s="283">
        <f>74277000-16566000</f>
        <v>57711000</v>
      </c>
      <c r="P92" s="338"/>
      <c r="Q92" s="338">
        <f>+O92+P92</f>
        <v>57711000</v>
      </c>
      <c r="R92" s="338"/>
      <c r="S92" s="338"/>
      <c r="T92" s="338"/>
      <c r="U92" s="338"/>
      <c r="V92" s="337">
        <f>+R92+U92</f>
        <v>0</v>
      </c>
      <c r="W92" s="74">
        <f>+Q92+V92</f>
        <v>57711000</v>
      </c>
      <c r="X92" s="327">
        <v>57711000</v>
      </c>
      <c r="Y92" s="50"/>
      <c r="Z92" s="88">
        <f t="shared" si="16"/>
        <v>57711000</v>
      </c>
      <c r="AA92" s="87">
        <v>41498</v>
      </c>
      <c r="AB92" s="50">
        <v>80</v>
      </c>
      <c r="AC92" s="50" t="s">
        <v>338</v>
      </c>
      <c r="AD92" s="103"/>
      <c r="AE92" s="50"/>
      <c r="AF92" s="50"/>
      <c r="AG92" s="49"/>
      <c r="AH92" s="3">
        <f>+AI92/Z92</f>
        <v>0.7</v>
      </c>
      <c r="AI92" s="2">
        <v>40397700</v>
      </c>
    </row>
    <row r="93" spans="2:41" ht="34.5" customHeight="1" x14ac:dyDescent="0.25">
      <c r="B93" s="1297"/>
      <c r="C93" s="1297"/>
      <c r="D93" s="1207"/>
      <c r="E93" s="1207"/>
      <c r="F93" s="1207"/>
      <c r="G93" s="1175"/>
      <c r="H93" s="1175"/>
      <c r="I93" s="153" t="s">
        <v>28</v>
      </c>
      <c r="J93" s="153">
        <v>293</v>
      </c>
      <c r="K93" s="246" t="s">
        <v>337</v>
      </c>
      <c r="L93" s="153" t="s">
        <v>150</v>
      </c>
      <c r="M93" s="153">
        <v>7</v>
      </c>
      <c r="N93" s="212" t="s">
        <v>55</v>
      </c>
      <c r="O93" s="283">
        <v>14737500</v>
      </c>
      <c r="P93" s="338"/>
      <c r="Q93" s="338"/>
      <c r="R93" s="283">
        <v>26527500</v>
      </c>
      <c r="S93" s="338"/>
      <c r="T93" s="338"/>
      <c r="U93" s="338"/>
      <c r="V93" s="337"/>
      <c r="W93" s="74">
        <f>+O93+R93</f>
        <v>41265000</v>
      </c>
      <c r="X93" s="327">
        <v>14737500</v>
      </c>
      <c r="Y93" s="2">
        <v>26527500</v>
      </c>
      <c r="Z93" s="88">
        <f t="shared" si="16"/>
        <v>41265000</v>
      </c>
      <c r="AA93" s="87">
        <v>41509</v>
      </c>
      <c r="AB93" s="50">
        <v>86</v>
      </c>
      <c r="AC93" s="50" t="s">
        <v>336</v>
      </c>
      <c r="AD93" s="103"/>
      <c r="AE93" s="286" t="s">
        <v>335</v>
      </c>
      <c r="AF93" s="107">
        <f>+R93</f>
        <v>26527500</v>
      </c>
      <c r="AG93" s="342">
        <f>+AF93</f>
        <v>26527500</v>
      </c>
      <c r="AH93" s="3">
        <f>+AI93/Z93</f>
        <v>1</v>
      </c>
      <c r="AI93" s="2">
        <v>41265000</v>
      </c>
    </row>
    <row r="94" spans="2:41" ht="38.25" x14ac:dyDescent="0.25">
      <c r="B94" s="1297"/>
      <c r="C94" s="1297"/>
      <c r="D94" s="1219"/>
      <c r="E94" s="1219"/>
      <c r="F94" s="1219"/>
      <c r="G94" s="1175"/>
      <c r="H94" s="1175"/>
      <c r="I94" s="153" t="s">
        <v>28</v>
      </c>
      <c r="J94" s="153">
        <v>215</v>
      </c>
      <c r="K94" s="246" t="s">
        <v>334</v>
      </c>
      <c r="L94" s="153" t="s">
        <v>331</v>
      </c>
      <c r="M94" s="153">
        <v>9</v>
      </c>
      <c r="N94" s="212" t="s">
        <v>55</v>
      </c>
      <c r="O94" s="283">
        <v>37138500</v>
      </c>
      <c r="P94" s="338"/>
      <c r="Q94" s="338">
        <f>+O94+P94</f>
        <v>37138500</v>
      </c>
      <c r="R94" s="338"/>
      <c r="S94" s="338"/>
      <c r="T94" s="338"/>
      <c r="U94" s="338"/>
      <c r="V94" s="337">
        <f>+R94+U94</f>
        <v>0</v>
      </c>
      <c r="W94" s="74">
        <f>+Q94+V94</f>
        <v>37138500</v>
      </c>
      <c r="X94" s="327">
        <v>37138500</v>
      </c>
      <c r="Y94" s="50"/>
      <c r="Z94" s="88">
        <f t="shared" si="16"/>
        <v>37138500</v>
      </c>
      <c r="AA94" s="87">
        <v>41400</v>
      </c>
      <c r="AB94" s="50">
        <v>51</v>
      </c>
      <c r="AC94" s="86" t="s">
        <v>333</v>
      </c>
      <c r="AD94" s="103"/>
      <c r="AE94" s="136"/>
      <c r="AF94" s="50"/>
      <c r="AG94" s="49"/>
      <c r="AH94" s="3">
        <f>+AI94/Z94</f>
        <v>0.33333333333333331</v>
      </c>
      <c r="AI94" s="2">
        <v>12379500</v>
      </c>
    </row>
    <row r="95" spans="2:41" ht="38.25" x14ac:dyDescent="0.25">
      <c r="B95" s="1297"/>
      <c r="C95" s="1297"/>
      <c r="D95" s="1219"/>
      <c r="E95" s="1219"/>
      <c r="F95" s="1219"/>
      <c r="G95" s="1176"/>
      <c r="H95" s="1176"/>
      <c r="I95" s="153" t="s">
        <v>28</v>
      </c>
      <c r="J95" s="153">
        <v>319</v>
      </c>
      <c r="K95" s="246" t="s">
        <v>332</v>
      </c>
      <c r="L95" s="153" t="s">
        <v>331</v>
      </c>
      <c r="M95" s="153">
        <v>9</v>
      </c>
      <c r="N95" s="212" t="s">
        <v>55</v>
      </c>
      <c r="O95" s="283">
        <f>8584500+1828500</f>
        <v>10413000</v>
      </c>
      <c r="P95" s="338"/>
      <c r="Q95" s="338">
        <f>+O95+P95</f>
        <v>10413000</v>
      </c>
      <c r="R95" s="338">
        <f>26527500-26527500</f>
        <v>0</v>
      </c>
      <c r="S95" s="338">
        <v>26527500</v>
      </c>
      <c r="T95" s="338">
        <v>26527500</v>
      </c>
      <c r="U95" s="338"/>
      <c r="V95" s="337">
        <f>+R95+U95</f>
        <v>0</v>
      </c>
      <c r="W95" s="74">
        <f>+Q95+V95</f>
        <v>10413000</v>
      </c>
      <c r="X95" s="327">
        <v>10413000</v>
      </c>
      <c r="Y95" s="50"/>
      <c r="Z95" s="88">
        <f t="shared" si="16"/>
        <v>10413000</v>
      </c>
      <c r="AA95" s="87">
        <v>41572</v>
      </c>
      <c r="AB95" s="50">
        <v>120</v>
      </c>
      <c r="AC95" s="50" t="s">
        <v>171</v>
      </c>
      <c r="AD95" s="103"/>
      <c r="AE95" s="50"/>
      <c r="AF95" s="50"/>
      <c r="AG95" s="49"/>
      <c r="AI95" s="271"/>
    </row>
    <row r="96" spans="2:41" ht="19.5" customHeight="1" x14ac:dyDescent="0.25">
      <c r="B96" s="1297"/>
      <c r="C96" s="1297"/>
      <c r="D96" s="1219"/>
      <c r="E96" s="1219"/>
      <c r="F96" s="1219"/>
      <c r="G96" s="1188" t="s">
        <v>23</v>
      </c>
      <c r="H96" s="1188"/>
      <c r="I96" s="1188"/>
      <c r="J96" s="1188"/>
      <c r="K96" s="1188"/>
      <c r="L96" s="1188"/>
      <c r="M96" s="1188"/>
      <c r="N96" s="1188"/>
      <c r="O96" s="82">
        <f>SUM(O92:O95)</f>
        <v>120000000</v>
      </c>
      <c r="P96" s="82">
        <f>+P92+P94+P95</f>
        <v>0</v>
      </c>
      <c r="Q96" s="82">
        <f>+Q92+Q94+Q95</f>
        <v>105262500</v>
      </c>
      <c r="R96" s="82">
        <f>SUM(R92:R95)</f>
        <v>26527500</v>
      </c>
      <c r="S96" s="82" t="e">
        <f>SUM(#REF!)</f>
        <v>#REF!</v>
      </c>
      <c r="T96" s="82">
        <f>+T95</f>
        <v>26527500</v>
      </c>
      <c r="U96" s="82" t="e">
        <f>SUM(#REF!)</f>
        <v>#REF!</v>
      </c>
      <c r="V96" s="428" t="e">
        <f>+R96+U96</f>
        <v>#REF!</v>
      </c>
      <c r="W96" s="82">
        <f>+O96+R96</f>
        <v>146527500</v>
      </c>
      <c r="X96" s="388">
        <f>SUM(X92:X95)</f>
        <v>120000000</v>
      </c>
      <c r="Y96" s="388">
        <f>SUM(Y92:Y95)</f>
        <v>26527500</v>
      </c>
      <c r="Z96" s="88">
        <f t="shared" si="16"/>
        <v>146527500</v>
      </c>
      <c r="AA96" s="82"/>
      <c r="AB96" s="82"/>
      <c r="AC96" s="82"/>
      <c r="AD96" s="79">
        <f>+Z96/W96</f>
        <v>1</v>
      </c>
      <c r="AE96" s="82"/>
      <c r="AF96" s="192">
        <f>SUM(AF92:AF95)</f>
        <v>26527500</v>
      </c>
      <c r="AG96" s="191">
        <f>SUM(AG92:AG95)</f>
        <v>26527500</v>
      </c>
    </row>
    <row r="97" spans="2:35" ht="24.75" customHeight="1" x14ac:dyDescent="0.25">
      <c r="B97" s="1297"/>
      <c r="C97" s="1299"/>
      <c r="D97" s="1219"/>
      <c r="E97" s="1219"/>
      <c r="F97" s="1219"/>
      <c r="G97" s="1204" t="s">
        <v>330</v>
      </c>
      <c r="H97" s="1204"/>
      <c r="I97" s="1204"/>
      <c r="J97" s="1204"/>
      <c r="K97" s="1204"/>
      <c r="L97" s="427"/>
      <c r="M97" s="427"/>
      <c r="N97" s="427"/>
      <c r="O97" s="74">
        <f>+O96</f>
        <v>120000000</v>
      </c>
      <c r="P97" s="74" t="e">
        <f>+#REF!</f>
        <v>#REF!</v>
      </c>
      <c r="Q97" s="74" t="e">
        <f>+O97+P97</f>
        <v>#REF!</v>
      </c>
      <c r="R97" s="74">
        <f>+R96</f>
        <v>26527500</v>
      </c>
      <c r="S97" s="74" t="e">
        <f>+S96</f>
        <v>#REF!</v>
      </c>
      <c r="T97" s="74">
        <f>+T96</f>
        <v>26527500</v>
      </c>
      <c r="U97" s="74" t="e">
        <f>+#REF!</f>
        <v>#REF!</v>
      </c>
      <c r="V97" s="75" t="e">
        <f>+R97+U97</f>
        <v>#REF!</v>
      </c>
      <c r="W97" s="74">
        <f>+O97+R97</f>
        <v>146527500</v>
      </c>
      <c r="X97" s="74">
        <f>+X96</f>
        <v>120000000</v>
      </c>
      <c r="Y97" s="74">
        <f>+Y96</f>
        <v>26527500</v>
      </c>
      <c r="Z97" s="88">
        <f t="shared" si="16"/>
        <v>146527500</v>
      </c>
      <c r="AA97" s="71"/>
      <c r="AB97" s="71"/>
      <c r="AC97" s="71"/>
      <c r="AD97" s="70">
        <f>+Z97/W97</f>
        <v>1</v>
      </c>
      <c r="AE97" s="74"/>
      <c r="AF97" s="74">
        <f>+AF96</f>
        <v>26527500</v>
      </c>
      <c r="AG97" s="332">
        <f>+AE97+AF97</f>
        <v>26527500</v>
      </c>
    </row>
    <row r="98" spans="2:35" ht="19.5" customHeight="1" x14ac:dyDescent="0.25">
      <c r="B98" s="1299"/>
      <c r="C98" s="1278" t="s">
        <v>329</v>
      </c>
      <c r="D98" s="1278"/>
      <c r="E98" s="1278"/>
      <c r="F98" s="1278"/>
      <c r="G98" s="1278"/>
      <c r="H98" s="1278"/>
      <c r="I98" s="1278"/>
      <c r="J98" s="1278"/>
      <c r="K98" s="1278"/>
      <c r="L98" s="426"/>
      <c r="M98" s="426"/>
      <c r="N98" s="426"/>
      <c r="O98" s="65">
        <f t="shared" ref="O98:Y98" si="18">+O91+O97</f>
        <v>1292634000</v>
      </c>
      <c r="P98" s="65" t="e">
        <f t="shared" si="18"/>
        <v>#REF!</v>
      </c>
      <c r="Q98" s="65" t="e">
        <f t="shared" si="18"/>
        <v>#REF!</v>
      </c>
      <c r="R98" s="65">
        <f t="shared" si="18"/>
        <v>314922432</v>
      </c>
      <c r="S98" s="65" t="e">
        <f t="shared" si="18"/>
        <v>#REF!</v>
      </c>
      <c r="T98" s="65">
        <f t="shared" si="18"/>
        <v>129088000</v>
      </c>
      <c r="U98" s="65" t="e">
        <f t="shared" si="18"/>
        <v>#REF!</v>
      </c>
      <c r="V98" s="65" t="e">
        <f t="shared" si="18"/>
        <v>#REF!</v>
      </c>
      <c r="W98" s="65">
        <f t="shared" si="18"/>
        <v>1607556432</v>
      </c>
      <c r="X98" s="65">
        <f t="shared" si="18"/>
        <v>1292634000</v>
      </c>
      <c r="Y98" s="65">
        <f t="shared" si="18"/>
        <v>293709436</v>
      </c>
      <c r="Z98" s="88">
        <f t="shared" si="16"/>
        <v>1586343436</v>
      </c>
      <c r="AA98" s="60"/>
      <c r="AB98" s="60"/>
      <c r="AC98" s="60"/>
      <c r="AD98" s="59">
        <f>+Z98/W98</f>
        <v>0.98680419823669374</v>
      </c>
      <c r="AE98" s="65">
        <f>+AE91+AE97</f>
        <v>0</v>
      </c>
      <c r="AF98" s="65">
        <f>+AF91+AF97</f>
        <v>138858000</v>
      </c>
      <c r="AG98" s="64">
        <f>+AG91+AG97</f>
        <v>138643853</v>
      </c>
    </row>
    <row r="99" spans="2:35" s="138" customFormat="1" ht="91.5" customHeight="1" x14ac:dyDescent="0.25">
      <c r="B99" s="1276" t="str">
        <f>+B92</f>
        <v>Proyecto No. 702 : Investigación e innovación para la construcción de conocimiento educativo y pedagógico.</v>
      </c>
      <c r="C99" s="1224" t="s">
        <v>328</v>
      </c>
      <c r="D99" s="1205" t="s">
        <v>327</v>
      </c>
      <c r="E99" s="1205" t="s">
        <v>326</v>
      </c>
      <c r="F99" s="1205" t="s">
        <v>325</v>
      </c>
      <c r="G99" s="223" t="s">
        <v>324</v>
      </c>
      <c r="H99" s="425" t="s">
        <v>294</v>
      </c>
      <c r="I99" s="425" t="s">
        <v>28</v>
      </c>
      <c r="J99" s="95">
        <v>72</v>
      </c>
      <c r="K99" s="264" t="s">
        <v>323</v>
      </c>
      <c r="L99" s="424" t="s">
        <v>121</v>
      </c>
      <c r="M99" s="95">
        <v>5</v>
      </c>
      <c r="N99" s="95" t="s">
        <v>322</v>
      </c>
      <c r="O99" s="94"/>
      <c r="P99" s="361"/>
      <c r="Q99" s="338">
        <f t="shared" ref="Q99:Q111" si="19">+O99+P99</f>
        <v>0</v>
      </c>
      <c r="R99" s="283">
        <v>90000000</v>
      </c>
      <c r="S99" s="361">
        <v>90000000</v>
      </c>
      <c r="T99" s="361">
        <v>90000000</v>
      </c>
      <c r="U99" s="361"/>
      <c r="V99" s="360">
        <f>+O99+R99</f>
        <v>90000000</v>
      </c>
      <c r="W99" s="338">
        <f>+Q99+V99</f>
        <v>90000000</v>
      </c>
      <c r="X99" s="232"/>
      <c r="Y99" s="148">
        <v>90000000</v>
      </c>
      <c r="Z99" s="88">
        <f t="shared" si="16"/>
        <v>90000000</v>
      </c>
      <c r="AA99" s="106">
        <v>41439</v>
      </c>
      <c r="AB99" s="105">
        <v>60</v>
      </c>
      <c r="AC99" s="104" t="s">
        <v>321</v>
      </c>
      <c r="AD99" s="85"/>
      <c r="AE99" s="376" t="s">
        <v>230</v>
      </c>
      <c r="AF99" s="368">
        <f>+R99</f>
        <v>90000000</v>
      </c>
      <c r="AG99" s="406">
        <f>+AF99</f>
        <v>90000000</v>
      </c>
      <c r="AH99" s="3">
        <f>+AI99/Z99</f>
        <v>0.3</v>
      </c>
      <c r="AI99" s="139">
        <v>27000000</v>
      </c>
    </row>
    <row r="100" spans="2:35" s="138" customFormat="1" ht="21.75" customHeight="1" x14ac:dyDescent="0.25">
      <c r="B100" s="1220"/>
      <c r="C100" s="1225"/>
      <c r="D100" s="1206"/>
      <c r="E100" s="1206"/>
      <c r="F100" s="1206"/>
      <c r="G100" s="1188" t="s">
        <v>23</v>
      </c>
      <c r="H100" s="1188"/>
      <c r="I100" s="1188"/>
      <c r="J100" s="1188"/>
      <c r="K100" s="1188"/>
      <c r="L100" s="1188"/>
      <c r="M100" s="1188"/>
      <c r="N100" s="1188"/>
      <c r="O100" s="82">
        <f>SUM(O99:O99)</f>
        <v>0</v>
      </c>
      <c r="P100" s="82"/>
      <c r="Q100" s="82">
        <f t="shared" si="19"/>
        <v>0</v>
      </c>
      <c r="R100" s="82">
        <f>SUM(R99:R99)</f>
        <v>90000000</v>
      </c>
      <c r="S100" s="82">
        <f>SUM(S99:S99)</f>
        <v>90000000</v>
      </c>
      <c r="T100" s="82">
        <f>SUM(T99:T99)</f>
        <v>90000000</v>
      </c>
      <c r="U100" s="82"/>
      <c r="V100" s="336">
        <f t="shared" ref="V100:V111" si="20">+R100+U100</f>
        <v>90000000</v>
      </c>
      <c r="W100" s="82">
        <f>+Q100+V100</f>
        <v>90000000</v>
      </c>
      <c r="X100" s="423">
        <f>+X99</f>
        <v>0</v>
      </c>
      <c r="Y100" s="81">
        <f>+Y99</f>
        <v>90000000</v>
      </c>
      <c r="Z100" s="88">
        <f t="shared" si="16"/>
        <v>90000000</v>
      </c>
      <c r="AA100" s="78"/>
      <c r="AB100" s="78"/>
      <c r="AC100" s="78"/>
      <c r="AD100" s="79">
        <f>+Z100/W100</f>
        <v>1</v>
      </c>
      <c r="AE100" s="78"/>
      <c r="AF100" s="404">
        <f>+AF99</f>
        <v>90000000</v>
      </c>
      <c r="AG100" s="403">
        <f>+AG99</f>
        <v>90000000</v>
      </c>
      <c r="AH100" s="3"/>
      <c r="AI100" s="139"/>
    </row>
    <row r="101" spans="2:35" s="138" customFormat="1" ht="48" customHeight="1" x14ac:dyDescent="0.25">
      <c r="B101" s="1220"/>
      <c r="C101" s="1225"/>
      <c r="D101" s="1206"/>
      <c r="E101" s="1206"/>
      <c r="F101" s="1206"/>
      <c r="G101" s="1211" t="s">
        <v>320</v>
      </c>
      <c r="H101" s="1211" t="s">
        <v>233</v>
      </c>
      <c r="I101" s="95" t="s">
        <v>28</v>
      </c>
      <c r="J101" s="95">
        <v>240</v>
      </c>
      <c r="K101" s="244" t="s">
        <v>319</v>
      </c>
      <c r="L101" s="295" t="s">
        <v>26</v>
      </c>
      <c r="M101" s="295"/>
      <c r="N101" s="95" t="s">
        <v>55</v>
      </c>
      <c r="O101" s="419">
        <v>82530000</v>
      </c>
      <c r="P101" s="413"/>
      <c r="Q101" s="413">
        <f t="shared" si="19"/>
        <v>82530000</v>
      </c>
      <c r="R101" s="304"/>
      <c r="S101" s="413"/>
      <c r="T101" s="413"/>
      <c r="U101" s="413"/>
      <c r="V101" s="370">
        <f t="shared" si="20"/>
        <v>0</v>
      </c>
      <c r="W101" s="417">
        <f t="shared" ref="W101:W114" si="21">+O101+R101</f>
        <v>82530000</v>
      </c>
      <c r="X101" s="232">
        <v>82530000</v>
      </c>
      <c r="Y101" s="368"/>
      <c r="Z101" s="88">
        <f t="shared" si="16"/>
        <v>82530000</v>
      </c>
      <c r="AA101" s="106">
        <v>41390</v>
      </c>
      <c r="AB101" s="105">
        <v>44</v>
      </c>
      <c r="AC101" s="104" t="s">
        <v>318</v>
      </c>
      <c r="AD101" s="147"/>
      <c r="AE101" s="105"/>
      <c r="AF101" s="105"/>
      <c r="AG101" s="146"/>
      <c r="AH101" s="3">
        <f t="shared" ref="AH101:AH107" si="22">+AI101/Z101</f>
        <v>0.25</v>
      </c>
      <c r="AI101" s="139">
        <v>20632500</v>
      </c>
    </row>
    <row r="102" spans="2:35" s="138" customFormat="1" ht="48.75" customHeight="1" x14ac:dyDescent="0.25">
      <c r="B102" s="1220"/>
      <c r="C102" s="1225"/>
      <c r="D102" s="1206"/>
      <c r="E102" s="1206"/>
      <c r="F102" s="1206"/>
      <c r="G102" s="1212"/>
      <c r="H102" s="1212"/>
      <c r="I102" s="95" t="s">
        <v>28</v>
      </c>
      <c r="J102" s="95">
        <v>241</v>
      </c>
      <c r="K102" s="244" t="s">
        <v>317</v>
      </c>
      <c r="L102" s="295" t="s">
        <v>26</v>
      </c>
      <c r="M102" s="295"/>
      <c r="N102" s="95" t="s">
        <v>55</v>
      </c>
      <c r="O102" s="419">
        <v>63666000</v>
      </c>
      <c r="P102" s="413"/>
      <c r="Q102" s="413">
        <f t="shared" si="19"/>
        <v>63666000</v>
      </c>
      <c r="R102" s="304"/>
      <c r="S102" s="413"/>
      <c r="T102" s="413"/>
      <c r="U102" s="413"/>
      <c r="V102" s="370">
        <f t="shared" si="20"/>
        <v>0</v>
      </c>
      <c r="W102" s="417">
        <f t="shared" si="21"/>
        <v>63666000</v>
      </c>
      <c r="X102" s="232">
        <v>63666000</v>
      </c>
      <c r="Y102" s="368"/>
      <c r="Z102" s="88">
        <f t="shared" si="16"/>
        <v>63666000</v>
      </c>
      <c r="AA102" s="106">
        <v>41390</v>
      </c>
      <c r="AB102" s="105">
        <v>49</v>
      </c>
      <c r="AC102" s="105" t="s">
        <v>316</v>
      </c>
      <c r="AD102" s="147"/>
      <c r="AE102" s="105"/>
      <c r="AF102" s="105"/>
      <c r="AG102" s="146"/>
      <c r="AH102" s="3">
        <f t="shared" si="22"/>
        <v>0.25</v>
      </c>
      <c r="AI102" s="139">
        <v>15916500</v>
      </c>
    </row>
    <row r="103" spans="2:35" s="138" customFormat="1" ht="32.25" customHeight="1" x14ac:dyDescent="0.25">
      <c r="B103" s="1220"/>
      <c r="C103" s="1225"/>
      <c r="D103" s="1206"/>
      <c r="E103" s="1206"/>
      <c r="F103" s="1206"/>
      <c r="G103" s="1212"/>
      <c r="H103" s="1212"/>
      <c r="I103" s="95" t="s">
        <v>28</v>
      </c>
      <c r="J103" s="95">
        <v>269</v>
      </c>
      <c r="K103" s="244" t="s">
        <v>17</v>
      </c>
      <c r="L103" s="295" t="s">
        <v>26</v>
      </c>
      <c r="M103" s="295">
        <v>7</v>
      </c>
      <c r="N103" s="95" t="s">
        <v>55</v>
      </c>
      <c r="O103" s="419">
        <f>53055000-11790000</f>
        <v>41265000</v>
      </c>
      <c r="P103" s="413"/>
      <c r="Q103" s="413">
        <f t="shared" si="19"/>
        <v>41265000</v>
      </c>
      <c r="R103" s="304"/>
      <c r="S103" s="413"/>
      <c r="T103" s="413"/>
      <c r="U103" s="413"/>
      <c r="V103" s="370">
        <f t="shared" si="20"/>
        <v>0</v>
      </c>
      <c r="W103" s="417">
        <f t="shared" si="21"/>
        <v>41265000</v>
      </c>
      <c r="X103" s="232">
        <v>41265000</v>
      </c>
      <c r="Y103" s="368"/>
      <c r="Z103" s="88">
        <f t="shared" si="16"/>
        <v>41265000</v>
      </c>
      <c r="AA103" s="106">
        <v>41470</v>
      </c>
      <c r="AB103" s="105">
        <v>67</v>
      </c>
      <c r="AC103" s="105" t="s">
        <v>315</v>
      </c>
      <c r="AD103" s="147"/>
      <c r="AE103" s="105"/>
      <c r="AF103" s="105"/>
      <c r="AG103" s="146"/>
      <c r="AH103" s="3">
        <f t="shared" si="22"/>
        <v>0.32500000000000001</v>
      </c>
      <c r="AI103" s="139">
        <v>13411125</v>
      </c>
    </row>
    <row r="104" spans="2:35" s="138" customFormat="1" ht="39" customHeight="1" x14ac:dyDescent="0.25">
      <c r="B104" s="1220"/>
      <c r="C104" s="1225"/>
      <c r="D104" s="1206"/>
      <c r="E104" s="1206"/>
      <c r="F104" s="1206"/>
      <c r="G104" s="1212"/>
      <c r="H104" s="1212"/>
      <c r="I104" s="95" t="s">
        <v>28</v>
      </c>
      <c r="J104" s="95">
        <v>243</v>
      </c>
      <c r="K104" s="244" t="s">
        <v>314</v>
      </c>
      <c r="L104" s="295" t="s">
        <v>26</v>
      </c>
      <c r="M104" s="295"/>
      <c r="N104" s="95" t="s">
        <v>55</v>
      </c>
      <c r="O104" s="419">
        <v>53055000</v>
      </c>
      <c r="P104" s="413"/>
      <c r="Q104" s="413">
        <f t="shared" si="19"/>
        <v>53055000</v>
      </c>
      <c r="R104" s="304"/>
      <c r="S104" s="413"/>
      <c r="T104" s="413"/>
      <c r="U104" s="413"/>
      <c r="V104" s="370">
        <f t="shared" si="20"/>
        <v>0</v>
      </c>
      <c r="W104" s="417">
        <f t="shared" si="21"/>
        <v>53055000</v>
      </c>
      <c r="X104" s="232">
        <v>53055000</v>
      </c>
      <c r="Y104" s="368"/>
      <c r="Z104" s="88">
        <f t="shared" si="16"/>
        <v>53055000</v>
      </c>
      <c r="AA104" s="106">
        <v>41390</v>
      </c>
      <c r="AB104" s="105">
        <v>47</v>
      </c>
      <c r="AC104" s="105" t="s">
        <v>313</v>
      </c>
      <c r="AD104" s="147"/>
      <c r="AE104" s="105"/>
      <c r="AF104" s="105"/>
      <c r="AG104" s="146"/>
      <c r="AH104" s="3">
        <f t="shared" si="22"/>
        <v>0.28000000000000003</v>
      </c>
      <c r="AI104" s="139">
        <v>14855400</v>
      </c>
    </row>
    <row r="105" spans="2:35" s="138" customFormat="1" ht="31.5" customHeight="1" x14ac:dyDescent="0.25">
      <c r="B105" s="1220"/>
      <c r="C105" s="1225"/>
      <c r="D105" s="1206"/>
      <c r="E105" s="1206"/>
      <c r="F105" s="1206"/>
      <c r="G105" s="1212"/>
      <c r="H105" s="1212"/>
      <c r="I105" s="95" t="s">
        <v>28</v>
      </c>
      <c r="J105" s="95">
        <v>244</v>
      </c>
      <c r="K105" s="244" t="s">
        <v>312</v>
      </c>
      <c r="L105" s="295" t="s">
        <v>26</v>
      </c>
      <c r="M105" s="295"/>
      <c r="N105" s="95" t="s">
        <v>55</v>
      </c>
      <c r="O105" s="419">
        <v>53055000</v>
      </c>
      <c r="P105" s="413"/>
      <c r="Q105" s="413">
        <f t="shared" si="19"/>
        <v>53055000</v>
      </c>
      <c r="R105" s="304"/>
      <c r="S105" s="413"/>
      <c r="T105" s="413"/>
      <c r="U105" s="413"/>
      <c r="V105" s="370">
        <f t="shared" si="20"/>
        <v>0</v>
      </c>
      <c r="W105" s="417">
        <f t="shared" si="21"/>
        <v>53055000</v>
      </c>
      <c r="X105" s="232">
        <v>53055000</v>
      </c>
      <c r="Y105" s="368"/>
      <c r="Z105" s="88">
        <f t="shared" si="16"/>
        <v>53055000</v>
      </c>
      <c r="AA105" s="106">
        <v>41390</v>
      </c>
      <c r="AB105" s="105">
        <v>48</v>
      </c>
      <c r="AC105" s="104" t="s">
        <v>311</v>
      </c>
      <c r="AD105" s="147"/>
      <c r="AE105" s="105"/>
      <c r="AF105" s="105"/>
      <c r="AG105" s="146"/>
      <c r="AH105" s="3">
        <f t="shared" si="22"/>
        <v>0.1</v>
      </c>
      <c r="AI105" s="139">
        <v>5305500</v>
      </c>
    </row>
    <row r="106" spans="2:35" s="138" customFormat="1" ht="48.75" customHeight="1" x14ac:dyDescent="0.25">
      <c r="B106" s="1220"/>
      <c r="C106" s="1225"/>
      <c r="D106" s="1206"/>
      <c r="E106" s="1206"/>
      <c r="F106" s="1206"/>
      <c r="G106" s="1212"/>
      <c r="H106" s="1212"/>
      <c r="I106" s="95" t="s">
        <v>28</v>
      </c>
      <c r="J106" s="95">
        <v>245</v>
      </c>
      <c r="K106" s="264" t="s">
        <v>310</v>
      </c>
      <c r="L106" s="295" t="s">
        <v>26</v>
      </c>
      <c r="M106" s="295">
        <v>6</v>
      </c>
      <c r="N106" s="95" t="s">
        <v>55</v>
      </c>
      <c r="O106" s="419">
        <f>37728000-9432000</f>
        <v>28296000</v>
      </c>
      <c r="P106" s="413"/>
      <c r="Q106" s="413">
        <f t="shared" si="19"/>
        <v>28296000</v>
      </c>
      <c r="R106" s="304"/>
      <c r="S106" s="413"/>
      <c r="T106" s="413"/>
      <c r="U106" s="413"/>
      <c r="V106" s="370">
        <f t="shared" si="20"/>
        <v>0</v>
      </c>
      <c r="W106" s="417">
        <f t="shared" si="21"/>
        <v>28296000</v>
      </c>
      <c r="X106" s="232">
        <v>28296000</v>
      </c>
      <c r="Y106" s="368"/>
      <c r="Z106" s="88">
        <f t="shared" si="16"/>
        <v>28296000</v>
      </c>
      <c r="AA106" s="106">
        <v>41478</v>
      </c>
      <c r="AB106" s="105">
        <v>70</v>
      </c>
      <c r="AC106" s="105" t="s">
        <v>309</v>
      </c>
      <c r="AD106" s="147"/>
      <c r="AE106" s="105"/>
      <c r="AF106" s="105"/>
      <c r="AG106" s="146"/>
      <c r="AH106" s="3">
        <f t="shared" si="22"/>
        <v>0.55000000000000004</v>
      </c>
      <c r="AI106" s="139">
        <v>15562800</v>
      </c>
    </row>
    <row r="107" spans="2:35" s="138" customFormat="1" ht="63" customHeight="1" x14ac:dyDescent="0.25">
      <c r="B107" s="1220"/>
      <c r="C107" s="1225"/>
      <c r="D107" s="1206"/>
      <c r="E107" s="1206"/>
      <c r="F107" s="1206"/>
      <c r="G107" s="1212"/>
      <c r="H107" s="1212"/>
      <c r="I107" s="95" t="s">
        <v>28</v>
      </c>
      <c r="J107" s="95">
        <v>246</v>
      </c>
      <c r="K107" s="264" t="s">
        <v>308</v>
      </c>
      <c r="L107" s="295" t="s">
        <v>26</v>
      </c>
      <c r="M107" s="295">
        <v>6</v>
      </c>
      <c r="N107" s="95" t="s">
        <v>55</v>
      </c>
      <c r="O107" s="419">
        <f>37728000-9432000</f>
        <v>28296000</v>
      </c>
      <c r="P107" s="413"/>
      <c r="Q107" s="413">
        <f t="shared" si="19"/>
        <v>28296000</v>
      </c>
      <c r="R107" s="304"/>
      <c r="S107" s="413"/>
      <c r="T107" s="413"/>
      <c r="U107" s="413"/>
      <c r="V107" s="370">
        <f t="shared" si="20"/>
        <v>0</v>
      </c>
      <c r="W107" s="417">
        <f t="shared" si="21"/>
        <v>28296000</v>
      </c>
      <c r="X107" s="232">
        <v>28296000</v>
      </c>
      <c r="Y107" s="368"/>
      <c r="Z107" s="88">
        <f t="shared" si="16"/>
        <v>28296000</v>
      </c>
      <c r="AA107" s="106">
        <v>41479</v>
      </c>
      <c r="AB107" s="105">
        <v>71</v>
      </c>
      <c r="AC107" s="105" t="s">
        <v>307</v>
      </c>
      <c r="AD107" s="147"/>
      <c r="AE107" s="105"/>
      <c r="AF107" s="105"/>
      <c r="AG107" s="146"/>
      <c r="AH107" s="3">
        <f t="shared" si="22"/>
        <v>0.55000000000000004</v>
      </c>
      <c r="AI107" s="139">
        <v>15562800</v>
      </c>
    </row>
    <row r="108" spans="2:35" s="138" customFormat="1" ht="38.25" x14ac:dyDescent="0.25">
      <c r="B108" s="1220"/>
      <c r="C108" s="1225"/>
      <c r="D108" s="1206"/>
      <c r="E108" s="1206"/>
      <c r="F108" s="1206"/>
      <c r="G108" s="1212"/>
      <c r="H108" s="1212"/>
      <c r="I108" s="95"/>
      <c r="J108" s="95"/>
      <c r="K108" s="264" t="s">
        <v>306</v>
      </c>
      <c r="L108" s="295" t="s">
        <v>26</v>
      </c>
      <c r="M108" s="295"/>
      <c r="N108" s="95" t="s">
        <v>55</v>
      </c>
      <c r="O108" s="419">
        <f>300000000-300000000</f>
        <v>0</v>
      </c>
      <c r="P108" s="413"/>
      <c r="Q108" s="413">
        <f t="shared" si="19"/>
        <v>0</v>
      </c>
      <c r="R108" s="304"/>
      <c r="S108" s="413"/>
      <c r="T108" s="413"/>
      <c r="U108" s="413"/>
      <c r="V108" s="370">
        <f t="shared" si="20"/>
        <v>0</v>
      </c>
      <c r="W108" s="417">
        <f t="shared" si="21"/>
        <v>0</v>
      </c>
      <c r="X108" s="232"/>
      <c r="Y108" s="368"/>
      <c r="Z108" s="88">
        <f t="shared" si="16"/>
        <v>0</v>
      </c>
      <c r="AA108" s="105"/>
      <c r="AB108" s="105"/>
      <c r="AC108" s="105"/>
      <c r="AD108" s="147"/>
      <c r="AE108" s="105"/>
      <c r="AF108" s="105"/>
      <c r="AG108" s="146"/>
      <c r="AH108" s="3"/>
      <c r="AI108" s="139"/>
    </row>
    <row r="109" spans="2:35" s="138" customFormat="1" ht="38.25" x14ac:dyDescent="0.25">
      <c r="B109" s="1220"/>
      <c r="C109" s="1225"/>
      <c r="D109" s="1206"/>
      <c r="E109" s="1206"/>
      <c r="F109" s="1206"/>
      <c r="G109" s="1212"/>
      <c r="H109" s="1212"/>
      <c r="I109" s="95"/>
      <c r="J109" s="95"/>
      <c r="K109" s="244" t="s">
        <v>305</v>
      </c>
      <c r="L109" s="295" t="s">
        <v>26</v>
      </c>
      <c r="M109" s="295"/>
      <c r="N109" s="95" t="s">
        <v>55</v>
      </c>
      <c r="O109" s="419"/>
      <c r="P109" s="413"/>
      <c r="Q109" s="413">
        <f t="shared" si="19"/>
        <v>0</v>
      </c>
      <c r="R109" s="418">
        <f>120000000-120000000</f>
        <v>0</v>
      </c>
      <c r="S109" s="418">
        <v>120000000</v>
      </c>
      <c r="T109" s="418">
        <v>120000000</v>
      </c>
      <c r="U109" s="266"/>
      <c r="V109" s="422">
        <f t="shared" si="20"/>
        <v>0</v>
      </c>
      <c r="W109" s="421">
        <f t="shared" si="21"/>
        <v>0</v>
      </c>
      <c r="X109" s="232"/>
      <c r="Y109" s="368"/>
      <c r="Z109" s="88">
        <f t="shared" si="16"/>
        <v>0</v>
      </c>
      <c r="AA109" s="105"/>
      <c r="AB109" s="105"/>
      <c r="AC109" s="105"/>
      <c r="AD109" s="147"/>
      <c r="AE109" s="105"/>
      <c r="AF109" s="105"/>
      <c r="AG109" s="146"/>
      <c r="AH109" s="3"/>
      <c r="AI109" s="139"/>
    </row>
    <row r="110" spans="2:35" s="138" customFormat="1" ht="25.5" x14ac:dyDescent="0.25">
      <c r="B110" s="1220"/>
      <c r="C110" s="1225"/>
      <c r="D110" s="1206"/>
      <c r="E110" s="1206"/>
      <c r="F110" s="1206"/>
      <c r="G110" s="1212"/>
      <c r="H110" s="1212"/>
      <c r="I110" s="95"/>
      <c r="J110" s="95"/>
      <c r="K110" s="264" t="s">
        <v>241</v>
      </c>
      <c r="L110" s="295" t="s">
        <v>26</v>
      </c>
      <c r="M110" s="295">
        <v>7</v>
      </c>
      <c r="N110" s="95" t="s">
        <v>55</v>
      </c>
      <c r="O110" s="419">
        <f>54183000+30654000-84837000</f>
        <v>0</v>
      </c>
      <c r="P110" s="413"/>
      <c r="Q110" s="413">
        <f t="shared" si="19"/>
        <v>0</v>
      </c>
      <c r="R110" s="304"/>
      <c r="S110" s="413"/>
      <c r="T110" s="413"/>
      <c r="U110" s="413"/>
      <c r="V110" s="370">
        <f t="shared" si="20"/>
        <v>0</v>
      </c>
      <c r="W110" s="417">
        <f t="shared" si="21"/>
        <v>0</v>
      </c>
      <c r="X110" s="232"/>
      <c r="Y110" s="368"/>
      <c r="Z110" s="88">
        <f t="shared" si="16"/>
        <v>0</v>
      </c>
      <c r="AA110" s="105"/>
      <c r="AB110" s="105"/>
      <c r="AC110" s="105"/>
      <c r="AD110" s="147"/>
      <c r="AE110" s="368"/>
      <c r="AF110" s="105"/>
      <c r="AG110" s="146"/>
      <c r="AH110" s="3"/>
      <c r="AI110" s="139"/>
    </row>
    <row r="111" spans="2:35" s="138" customFormat="1" ht="19.5" customHeight="1" x14ac:dyDescent="0.25">
      <c r="B111" s="1220"/>
      <c r="C111" s="1225"/>
      <c r="D111" s="1206"/>
      <c r="E111" s="1206"/>
      <c r="F111" s="1206"/>
      <c r="G111" s="1212"/>
      <c r="H111" s="1212"/>
      <c r="I111" s="95"/>
      <c r="J111" s="95"/>
      <c r="K111" s="264" t="s">
        <v>304</v>
      </c>
      <c r="L111" s="295" t="s">
        <v>26</v>
      </c>
      <c r="M111" s="295"/>
      <c r="N111" s="95" t="s">
        <v>55</v>
      </c>
      <c r="O111" s="419">
        <f>15000000-15000000</f>
        <v>0</v>
      </c>
      <c r="P111" s="413"/>
      <c r="Q111" s="413">
        <f t="shared" si="19"/>
        <v>0</v>
      </c>
      <c r="R111" s="304">
        <f>10000000-10000000</f>
        <v>0</v>
      </c>
      <c r="S111" s="304">
        <v>10000000</v>
      </c>
      <c r="T111" s="304">
        <v>10000000</v>
      </c>
      <c r="U111" s="413"/>
      <c r="V111" s="370">
        <f t="shared" si="20"/>
        <v>0</v>
      </c>
      <c r="W111" s="417">
        <f t="shared" si="21"/>
        <v>0</v>
      </c>
      <c r="X111" s="232"/>
      <c r="Y111" s="368"/>
      <c r="Z111" s="88">
        <f t="shared" si="16"/>
        <v>0</v>
      </c>
      <c r="AA111" s="105"/>
      <c r="AB111" s="105"/>
      <c r="AC111" s="105"/>
      <c r="AD111" s="147"/>
      <c r="AE111" s="105"/>
      <c r="AF111" s="105"/>
      <c r="AG111" s="146"/>
      <c r="AH111" s="3"/>
      <c r="AI111" s="139"/>
    </row>
    <row r="112" spans="2:35" s="138" customFormat="1" ht="39.75" customHeight="1" x14ac:dyDescent="0.25">
      <c r="B112" s="1220"/>
      <c r="C112" s="1225"/>
      <c r="D112" s="1206"/>
      <c r="E112" s="1206"/>
      <c r="F112" s="1206"/>
      <c r="G112" s="1212"/>
      <c r="H112" s="1212"/>
      <c r="I112" s="95" t="s">
        <v>28</v>
      </c>
      <c r="J112" s="95">
        <v>319</v>
      </c>
      <c r="K112" s="264" t="s">
        <v>173</v>
      </c>
      <c r="L112" s="295" t="s">
        <v>26</v>
      </c>
      <c r="M112" s="295">
        <v>9</v>
      </c>
      <c r="N112" s="295" t="s">
        <v>55</v>
      </c>
      <c r="O112" s="419">
        <v>15000000</v>
      </c>
      <c r="P112" s="413"/>
      <c r="Q112" s="413"/>
      <c r="R112" s="304"/>
      <c r="S112" s="304"/>
      <c r="T112" s="304"/>
      <c r="U112" s="413"/>
      <c r="V112" s="370"/>
      <c r="W112" s="417">
        <f t="shared" si="21"/>
        <v>15000000</v>
      </c>
      <c r="X112" s="232">
        <v>15000000</v>
      </c>
      <c r="Y112" s="232"/>
      <c r="Z112" s="88">
        <f t="shared" si="16"/>
        <v>15000000</v>
      </c>
      <c r="AA112" s="106">
        <v>41572</v>
      </c>
      <c r="AB112" s="105">
        <v>120</v>
      </c>
      <c r="AC112" s="105" t="s">
        <v>171</v>
      </c>
      <c r="AD112" s="147"/>
      <c r="AE112" s="105"/>
      <c r="AF112" s="105"/>
      <c r="AG112" s="146"/>
      <c r="AH112" s="3"/>
      <c r="AI112" s="271"/>
    </row>
    <row r="113" spans="2:35" s="138" customFormat="1" ht="38.25" customHeight="1" x14ac:dyDescent="0.25">
      <c r="B113" s="1220"/>
      <c r="C113" s="1225"/>
      <c r="D113" s="1206"/>
      <c r="E113" s="1206"/>
      <c r="F113" s="1206"/>
      <c r="G113" s="1212"/>
      <c r="H113" s="1212"/>
      <c r="I113" s="95" t="s">
        <v>28</v>
      </c>
      <c r="J113" s="95">
        <v>281</v>
      </c>
      <c r="K113" s="264" t="s">
        <v>243</v>
      </c>
      <c r="L113" s="153" t="s">
        <v>59</v>
      </c>
      <c r="M113" s="224">
        <v>1</v>
      </c>
      <c r="N113" s="224" t="s">
        <v>46</v>
      </c>
      <c r="O113" s="419"/>
      <c r="P113" s="413"/>
      <c r="Q113" s="413"/>
      <c r="R113" s="418">
        <v>10000000</v>
      </c>
      <c r="S113" s="304"/>
      <c r="T113" s="304"/>
      <c r="U113" s="413"/>
      <c r="V113" s="370"/>
      <c r="W113" s="417">
        <f t="shared" si="21"/>
        <v>10000000</v>
      </c>
      <c r="X113" s="232"/>
      <c r="Y113" s="232">
        <v>10000000</v>
      </c>
      <c r="Z113" s="88">
        <f t="shared" si="16"/>
        <v>10000000</v>
      </c>
      <c r="AA113" s="106">
        <v>41556</v>
      </c>
      <c r="AB113" s="105">
        <v>117</v>
      </c>
      <c r="AC113" s="105" t="s">
        <v>303</v>
      </c>
      <c r="AD113" s="147"/>
      <c r="AE113" s="105" t="s">
        <v>230</v>
      </c>
      <c r="AF113" s="368">
        <f>+R113</f>
        <v>10000000</v>
      </c>
      <c r="AG113" s="406">
        <f>+Z113</f>
        <v>10000000</v>
      </c>
      <c r="AH113" s="3"/>
      <c r="AI113" s="240"/>
    </row>
    <row r="114" spans="2:35" s="138" customFormat="1" ht="42.75" customHeight="1" x14ac:dyDescent="0.25">
      <c r="B114" s="1220"/>
      <c r="C114" s="1225"/>
      <c r="D114" s="1206"/>
      <c r="E114" s="1206"/>
      <c r="F114" s="1206"/>
      <c r="G114" s="1213"/>
      <c r="H114" s="1213"/>
      <c r="I114" s="95" t="s">
        <v>28</v>
      </c>
      <c r="J114" s="95">
        <v>330</v>
      </c>
      <c r="K114" s="264" t="s">
        <v>302</v>
      </c>
      <c r="L114" s="243"/>
      <c r="M114" s="420"/>
      <c r="N114" s="242"/>
      <c r="O114" s="419"/>
      <c r="P114" s="413"/>
      <c r="Q114" s="413"/>
      <c r="R114" s="418">
        <v>37138500</v>
      </c>
      <c r="S114" s="304"/>
      <c r="T114" s="304"/>
      <c r="U114" s="413"/>
      <c r="V114" s="370"/>
      <c r="W114" s="417">
        <f t="shared" si="21"/>
        <v>37138500</v>
      </c>
      <c r="X114" s="232"/>
      <c r="Y114" s="232">
        <v>37138500</v>
      </c>
      <c r="Z114" s="88">
        <f t="shared" si="16"/>
        <v>37138500</v>
      </c>
      <c r="AA114" s="106">
        <v>41547</v>
      </c>
      <c r="AB114" s="105">
        <v>114</v>
      </c>
      <c r="AC114" s="105" t="s">
        <v>301</v>
      </c>
      <c r="AD114" s="147"/>
      <c r="AE114" s="105"/>
      <c r="AF114" s="368">
        <f>+R114</f>
        <v>37138500</v>
      </c>
      <c r="AG114" s="406">
        <f>+Z114</f>
        <v>37138500</v>
      </c>
      <c r="AH114" s="3">
        <f>+AI114/Z114</f>
        <v>0.77777777777777779</v>
      </c>
      <c r="AI114" s="139">
        <v>28885500</v>
      </c>
    </row>
    <row r="115" spans="2:35" s="138" customFormat="1" ht="17.25" customHeight="1" x14ac:dyDescent="0.25">
      <c r="B115" s="1220"/>
      <c r="C115" s="1225"/>
      <c r="D115" s="1206"/>
      <c r="E115" s="1206"/>
      <c r="F115" s="1206"/>
      <c r="G115" s="1188" t="s">
        <v>23</v>
      </c>
      <c r="H115" s="1188"/>
      <c r="I115" s="1188"/>
      <c r="J115" s="1188"/>
      <c r="K115" s="1188"/>
      <c r="L115" s="1188"/>
      <c r="M115" s="416"/>
      <c r="N115" s="101"/>
      <c r="O115" s="415">
        <f>SUM(O101:O114)</f>
        <v>365163000</v>
      </c>
      <c r="P115" s="415">
        <f>SUM(P101:P114)</f>
        <v>0</v>
      </c>
      <c r="Q115" s="415">
        <f>SUM(Q101:Q114)</f>
        <v>350163000</v>
      </c>
      <c r="R115" s="415">
        <f>SUM(R101:R114)</f>
        <v>47138500</v>
      </c>
      <c r="S115" s="415">
        <f>SUM(S101:S113)</f>
        <v>130000000</v>
      </c>
      <c r="T115" s="415">
        <f>SUM(T101:T113)</f>
        <v>130000000</v>
      </c>
      <c r="U115" s="415">
        <f>SUM(U101:U113)</f>
        <v>0</v>
      </c>
      <c r="V115" s="415">
        <f>SUM(V101:V113)</f>
        <v>0</v>
      </c>
      <c r="W115" s="415">
        <f>SUM(W101:W114)</f>
        <v>412301500</v>
      </c>
      <c r="X115" s="388">
        <f>SUM(X101:X114)</f>
        <v>365163000</v>
      </c>
      <c r="Y115" s="388">
        <f>SUM(Y101:Y114)</f>
        <v>47138500</v>
      </c>
      <c r="Z115" s="88">
        <f t="shared" si="16"/>
        <v>412301500</v>
      </c>
      <c r="AA115" s="277"/>
      <c r="AB115" s="277"/>
      <c r="AC115" s="277"/>
      <c r="AD115" s="79">
        <f>+Z115/W115</f>
        <v>1</v>
      </c>
      <c r="AE115" s="277">
        <f>SUM(AE101:AE113)</f>
        <v>0</v>
      </c>
      <c r="AF115" s="143">
        <f>SUM(AF101:AF114)</f>
        <v>47138500</v>
      </c>
      <c r="AG115" s="142">
        <f>SUM(AG101:AG114)</f>
        <v>47138500</v>
      </c>
      <c r="AH115" s="3"/>
      <c r="AI115" s="139"/>
    </row>
    <row r="116" spans="2:35" s="138" customFormat="1" ht="80.25" customHeight="1" x14ac:dyDescent="0.25">
      <c r="B116" s="1206" t="str">
        <f>+B99</f>
        <v>Proyecto No. 702 : Investigación e innovación para la construcción de conocimiento educativo y pedagógico.</v>
      </c>
      <c r="C116" s="1206" t="str">
        <f>+C99</f>
        <v>EDUCACIÓN Y POLÍTICAS PÚBLICAS</v>
      </c>
      <c r="D116" s="1206" t="str">
        <f>+D99</f>
        <v>Desarrollar 16 estudios  en Educación y Políticas Públicas</v>
      </c>
      <c r="E116" s="1206" t="str">
        <f>+E99</f>
        <v>Desarrollar 4 estudios en Educación y Políticas Públicas</v>
      </c>
      <c r="F116" s="1206" t="str">
        <f>+F99</f>
        <v>Porcentaje de avance de los Estudios desarrollados en Educación y Políticas Públicas.</v>
      </c>
      <c r="G116" s="1174" t="s">
        <v>300</v>
      </c>
      <c r="H116" s="1211" t="s">
        <v>294</v>
      </c>
      <c r="I116" s="295"/>
      <c r="J116" s="295"/>
      <c r="K116" s="414" t="s">
        <v>299</v>
      </c>
      <c r="L116" s="95" t="s">
        <v>26</v>
      </c>
      <c r="M116" s="95">
        <v>5</v>
      </c>
      <c r="N116" s="95" t="s">
        <v>55</v>
      </c>
      <c r="O116" s="372"/>
      <c r="P116" s="371"/>
      <c r="Q116" s="371">
        <f>+O116+P116</f>
        <v>0</v>
      </c>
      <c r="R116" s="304">
        <v>119968000</v>
      </c>
      <c r="S116" s="304">
        <v>120000000</v>
      </c>
      <c r="T116" s="304">
        <v>120000000</v>
      </c>
      <c r="U116" s="413"/>
      <c r="V116" s="370">
        <f>+R116+U116</f>
        <v>119968000</v>
      </c>
      <c r="W116" s="369">
        <f>+Q116+V116</f>
        <v>119968000</v>
      </c>
      <c r="X116" s="232"/>
      <c r="Y116" s="368">
        <v>119968000</v>
      </c>
      <c r="Z116" s="88">
        <f t="shared" si="16"/>
        <v>119968000</v>
      </c>
      <c r="AA116" s="106">
        <v>41572</v>
      </c>
      <c r="AB116" s="105">
        <v>121</v>
      </c>
      <c r="AC116" s="105" t="s">
        <v>298</v>
      </c>
      <c r="AD116" s="85"/>
      <c r="AE116" s="407" t="s">
        <v>296</v>
      </c>
      <c r="AF116" s="368">
        <f>+R116</f>
        <v>119968000</v>
      </c>
      <c r="AG116" s="406">
        <f>+Z116</f>
        <v>119968000</v>
      </c>
      <c r="AH116" s="3">
        <f>+AI116/Z116</f>
        <v>0.7</v>
      </c>
      <c r="AI116" s="139">
        <v>83977600</v>
      </c>
    </row>
    <row r="117" spans="2:35" s="138" customFormat="1" ht="57" customHeight="1" x14ac:dyDescent="0.25">
      <c r="B117" s="1206"/>
      <c r="C117" s="1206"/>
      <c r="D117" s="1206"/>
      <c r="E117" s="1206"/>
      <c r="F117" s="1206"/>
      <c r="G117" s="1175"/>
      <c r="H117" s="1213"/>
      <c r="I117" s="95"/>
      <c r="J117" s="95"/>
      <c r="K117" s="412" t="s">
        <v>297</v>
      </c>
      <c r="L117" s="411"/>
      <c r="M117" s="410"/>
      <c r="N117" s="410"/>
      <c r="O117" s="394"/>
      <c r="P117" s="394">
        <f>120000000-119968000</f>
        <v>32000</v>
      </c>
      <c r="Q117" s="394">
        <f>120000000-119968000</f>
        <v>32000</v>
      </c>
      <c r="R117" s="394">
        <f>120000000-119968000</f>
        <v>32000</v>
      </c>
      <c r="S117" s="409"/>
      <c r="T117" s="409"/>
      <c r="U117" s="393"/>
      <c r="V117" s="390"/>
      <c r="W117" s="408">
        <f>+O117+R117</f>
        <v>32000</v>
      </c>
      <c r="X117" s="232"/>
      <c r="Y117" s="232"/>
      <c r="Z117" s="88">
        <f t="shared" si="16"/>
        <v>0</v>
      </c>
      <c r="AA117" s="106"/>
      <c r="AB117" s="105"/>
      <c r="AC117" s="105"/>
      <c r="AD117" s="85"/>
      <c r="AE117" s="407" t="s">
        <v>296</v>
      </c>
      <c r="AF117" s="368">
        <f>+R117</f>
        <v>32000</v>
      </c>
      <c r="AG117" s="406"/>
      <c r="AH117" s="3"/>
      <c r="AI117" s="139"/>
    </row>
    <row r="118" spans="2:35" s="138" customFormat="1" ht="28.5" customHeight="1" thickBot="1" x14ac:dyDescent="0.3">
      <c r="B118" s="1206"/>
      <c r="C118" s="1206"/>
      <c r="D118" s="1206"/>
      <c r="E118" s="1206"/>
      <c r="F118" s="1206"/>
      <c r="G118" s="1176"/>
      <c r="H118" s="1192" t="s">
        <v>23</v>
      </c>
      <c r="I118" s="1193"/>
      <c r="J118" s="1193"/>
      <c r="K118" s="1193"/>
      <c r="L118" s="1194"/>
      <c r="M118" s="101"/>
      <c r="N118" s="101"/>
      <c r="O118" s="388">
        <f>+O116</f>
        <v>0</v>
      </c>
      <c r="P118" s="144"/>
      <c r="Q118" s="144">
        <f>+Q116</f>
        <v>0</v>
      </c>
      <c r="R118" s="278">
        <f>+R116+R117</f>
        <v>120000000</v>
      </c>
      <c r="S118" s="278">
        <f>+S116</f>
        <v>120000000</v>
      </c>
      <c r="T118" s="278">
        <f>+T116</f>
        <v>120000000</v>
      </c>
      <c r="U118" s="144">
        <f>+U116</f>
        <v>0</v>
      </c>
      <c r="V118" s="145">
        <f>+V116</f>
        <v>119968000</v>
      </c>
      <c r="W118" s="82">
        <f>+O118+R118</f>
        <v>120000000</v>
      </c>
      <c r="X118" s="405">
        <f>+X116</f>
        <v>0</v>
      </c>
      <c r="Y118" s="405">
        <f>+Y116</f>
        <v>119968000</v>
      </c>
      <c r="Z118" s="88">
        <f t="shared" si="16"/>
        <v>119968000</v>
      </c>
      <c r="AA118" s="78"/>
      <c r="AB118" s="78"/>
      <c r="AC118" s="78"/>
      <c r="AD118" s="79">
        <f>+Z118/W118</f>
        <v>0.99973333333333336</v>
      </c>
      <c r="AE118" s="78"/>
      <c r="AF118" s="404">
        <f>+AF116</f>
        <v>119968000</v>
      </c>
      <c r="AG118" s="403">
        <f>+AG116</f>
        <v>119968000</v>
      </c>
      <c r="AH118" s="3"/>
      <c r="AI118" s="139"/>
    </row>
    <row r="119" spans="2:35" s="138" customFormat="1" ht="40.5" customHeight="1" x14ac:dyDescent="0.25">
      <c r="B119" s="1206"/>
      <c r="C119" s="1206"/>
      <c r="D119" s="1206"/>
      <c r="E119" s="1206"/>
      <c r="F119" s="1206"/>
      <c r="G119" s="1174" t="s">
        <v>295</v>
      </c>
      <c r="H119" s="1214" t="s">
        <v>294</v>
      </c>
      <c r="I119" s="212" t="s">
        <v>28</v>
      </c>
      <c r="J119" s="212">
        <v>140</v>
      </c>
      <c r="K119" s="375" t="s">
        <v>293</v>
      </c>
      <c r="L119" s="384" t="s">
        <v>74</v>
      </c>
      <c r="M119" s="399">
        <v>6</v>
      </c>
      <c r="N119" s="384" t="s">
        <v>55</v>
      </c>
      <c r="O119" s="372"/>
      <c r="P119" s="371"/>
      <c r="Q119" s="371"/>
      <c r="R119" s="402">
        <v>19700000</v>
      </c>
      <c r="S119" s="371"/>
      <c r="T119" s="371"/>
      <c r="U119" s="371"/>
      <c r="V119" s="370">
        <f t="shared" ref="V119:V139" si="23">+R119+U119</f>
        <v>19700000</v>
      </c>
      <c r="W119" s="369">
        <f t="shared" ref="W119:W125" si="24">+Q119+V119</f>
        <v>19700000</v>
      </c>
      <c r="X119" s="232"/>
      <c r="Y119" s="368">
        <v>19700000</v>
      </c>
      <c r="Z119" s="88">
        <f t="shared" si="16"/>
        <v>19700000</v>
      </c>
      <c r="AA119" s="106">
        <v>41366</v>
      </c>
      <c r="AB119" s="105">
        <v>35</v>
      </c>
      <c r="AC119" s="104" t="s">
        <v>292</v>
      </c>
      <c r="AD119" s="147"/>
      <c r="AE119" s="104" t="s">
        <v>283</v>
      </c>
      <c r="AF119" s="105"/>
      <c r="AG119" s="146"/>
      <c r="AH119" s="3">
        <f t="shared" ref="AH119:AH124" si="25">+AI119/Z119</f>
        <v>0</v>
      </c>
      <c r="AI119" s="139">
        <v>0</v>
      </c>
    </row>
    <row r="120" spans="2:35" s="138" customFormat="1" ht="44.25" customHeight="1" x14ac:dyDescent="0.25">
      <c r="B120" s="1206"/>
      <c r="C120" s="1206"/>
      <c r="D120" s="1206"/>
      <c r="E120" s="1206"/>
      <c r="F120" s="1206"/>
      <c r="G120" s="1175"/>
      <c r="H120" s="1215"/>
      <c r="I120" s="212" t="s">
        <v>28</v>
      </c>
      <c r="J120" s="212">
        <v>141</v>
      </c>
      <c r="K120" s="375" t="s">
        <v>291</v>
      </c>
      <c r="L120" s="384" t="s">
        <v>74</v>
      </c>
      <c r="M120" s="399">
        <v>3</v>
      </c>
      <c r="N120" s="384" t="s">
        <v>55</v>
      </c>
      <c r="O120" s="372"/>
      <c r="P120" s="371"/>
      <c r="Q120" s="371"/>
      <c r="R120" s="401">
        <v>11400000</v>
      </c>
      <c r="S120" s="371"/>
      <c r="T120" s="371"/>
      <c r="U120" s="371"/>
      <c r="V120" s="370">
        <f t="shared" si="23"/>
        <v>11400000</v>
      </c>
      <c r="W120" s="369">
        <f t="shared" si="24"/>
        <v>11400000</v>
      </c>
      <c r="X120" s="232"/>
      <c r="Y120" s="368">
        <v>11400000</v>
      </c>
      <c r="Z120" s="88">
        <f t="shared" si="16"/>
        <v>11400000</v>
      </c>
      <c r="AA120" s="106">
        <v>41367</v>
      </c>
      <c r="AB120" s="105">
        <v>36</v>
      </c>
      <c r="AC120" s="105" t="s">
        <v>290</v>
      </c>
      <c r="AD120" s="147"/>
      <c r="AE120" s="104" t="s">
        <v>283</v>
      </c>
      <c r="AF120" s="105"/>
      <c r="AG120" s="146"/>
      <c r="AH120" s="3">
        <f t="shared" si="25"/>
        <v>0</v>
      </c>
      <c r="AI120" s="139">
        <v>0</v>
      </c>
    </row>
    <row r="121" spans="2:35" s="138" customFormat="1" ht="79.5" customHeight="1" x14ac:dyDescent="0.25">
      <c r="B121" s="1206"/>
      <c r="C121" s="1206"/>
      <c r="D121" s="1206"/>
      <c r="E121" s="1206"/>
      <c r="F121" s="1206"/>
      <c r="G121" s="1175"/>
      <c r="H121" s="1215"/>
      <c r="I121" s="212" t="s">
        <v>28</v>
      </c>
      <c r="J121" s="212">
        <v>142</v>
      </c>
      <c r="K121" s="375" t="s">
        <v>289</v>
      </c>
      <c r="L121" s="384" t="s">
        <v>74</v>
      </c>
      <c r="M121" s="399">
        <v>2</v>
      </c>
      <c r="N121" s="384" t="s">
        <v>55</v>
      </c>
      <c r="O121" s="372"/>
      <c r="P121" s="371"/>
      <c r="Q121" s="371"/>
      <c r="R121" s="401">
        <v>7600000</v>
      </c>
      <c r="S121" s="371"/>
      <c r="T121" s="371"/>
      <c r="U121" s="371"/>
      <c r="V121" s="370">
        <f t="shared" si="23"/>
        <v>7600000</v>
      </c>
      <c r="W121" s="369">
        <f t="shared" si="24"/>
        <v>7600000</v>
      </c>
      <c r="X121" s="232"/>
      <c r="Y121" s="368">
        <v>7600000</v>
      </c>
      <c r="Z121" s="88">
        <f t="shared" si="16"/>
        <v>7600000</v>
      </c>
      <c r="AA121" s="106">
        <v>41383</v>
      </c>
      <c r="AB121" s="105">
        <v>41</v>
      </c>
      <c r="AC121" s="104" t="s">
        <v>288</v>
      </c>
      <c r="AD121" s="147"/>
      <c r="AE121" s="247" t="s">
        <v>283</v>
      </c>
      <c r="AF121" s="105"/>
      <c r="AG121" s="146"/>
      <c r="AH121" s="3">
        <f t="shared" si="25"/>
        <v>0</v>
      </c>
      <c r="AI121" s="139">
        <v>0</v>
      </c>
    </row>
    <row r="122" spans="2:35" s="138" customFormat="1" ht="84" customHeight="1" x14ac:dyDescent="0.25">
      <c r="B122" s="1206"/>
      <c r="C122" s="1206"/>
      <c r="D122" s="1206"/>
      <c r="E122" s="1206"/>
      <c r="F122" s="1206"/>
      <c r="G122" s="1175"/>
      <c r="H122" s="1215"/>
      <c r="I122" s="212" t="s">
        <v>28</v>
      </c>
      <c r="J122" s="212">
        <v>143</v>
      </c>
      <c r="K122" s="375" t="s">
        <v>287</v>
      </c>
      <c r="L122" s="384" t="s">
        <v>74</v>
      </c>
      <c r="M122" s="399">
        <v>2</v>
      </c>
      <c r="N122" s="384" t="s">
        <v>55</v>
      </c>
      <c r="O122" s="372"/>
      <c r="P122" s="371"/>
      <c r="Q122" s="371"/>
      <c r="R122" s="401">
        <v>7600000</v>
      </c>
      <c r="S122" s="371"/>
      <c r="T122" s="371"/>
      <c r="U122" s="371"/>
      <c r="V122" s="370">
        <f t="shared" si="23"/>
        <v>7600000</v>
      </c>
      <c r="W122" s="369">
        <f t="shared" si="24"/>
        <v>7600000</v>
      </c>
      <c r="X122" s="232"/>
      <c r="Y122" s="368">
        <v>7600000</v>
      </c>
      <c r="Z122" s="88">
        <f t="shared" si="16"/>
        <v>7600000</v>
      </c>
      <c r="AA122" s="106">
        <v>41400</v>
      </c>
      <c r="AB122" s="105">
        <v>50</v>
      </c>
      <c r="AC122" s="104" t="s">
        <v>286</v>
      </c>
      <c r="AD122" s="147"/>
      <c r="AE122" s="247" t="s">
        <v>283</v>
      </c>
      <c r="AF122" s="105"/>
      <c r="AG122" s="146"/>
      <c r="AH122" s="3">
        <f t="shared" si="25"/>
        <v>0</v>
      </c>
      <c r="AI122" s="139">
        <v>0</v>
      </c>
    </row>
    <row r="123" spans="2:35" s="138" customFormat="1" ht="81.75" customHeight="1" x14ac:dyDescent="0.25">
      <c r="B123" s="1206"/>
      <c r="C123" s="1206"/>
      <c r="D123" s="1206"/>
      <c r="E123" s="1206"/>
      <c r="F123" s="1206"/>
      <c r="G123" s="1175"/>
      <c r="H123" s="1215"/>
      <c r="I123" s="212" t="s">
        <v>28</v>
      </c>
      <c r="J123" s="212">
        <v>144</v>
      </c>
      <c r="K123" s="375" t="s">
        <v>285</v>
      </c>
      <c r="L123" s="384" t="s">
        <v>74</v>
      </c>
      <c r="M123" s="399">
        <v>2</v>
      </c>
      <c r="N123" s="384" t="s">
        <v>55</v>
      </c>
      <c r="O123" s="372"/>
      <c r="P123" s="371"/>
      <c r="Q123" s="371"/>
      <c r="R123" s="400">
        <v>7600000</v>
      </c>
      <c r="S123" s="371"/>
      <c r="T123" s="371"/>
      <c r="U123" s="371"/>
      <c r="V123" s="370">
        <f t="shared" si="23"/>
        <v>7600000</v>
      </c>
      <c r="W123" s="369">
        <f t="shared" si="24"/>
        <v>7600000</v>
      </c>
      <c r="X123" s="232"/>
      <c r="Y123" s="368">
        <v>7600000</v>
      </c>
      <c r="Z123" s="88">
        <f t="shared" si="16"/>
        <v>7600000</v>
      </c>
      <c r="AA123" s="106">
        <v>41417</v>
      </c>
      <c r="AB123" s="105">
        <v>53</v>
      </c>
      <c r="AC123" s="104" t="s">
        <v>284</v>
      </c>
      <c r="AD123" s="147"/>
      <c r="AE123" s="247" t="s">
        <v>283</v>
      </c>
      <c r="AF123" s="105"/>
      <c r="AG123" s="146"/>
      <c r="AH123" s="3">
        <f t="shared" si="25"/>
        <v>0</v>
      </c>
      <c r="AI123" s="139">
        <v>0</v>
      </c>
    </row>
    <row r="124" spans="2:35" s="138" customFormat="1" ht="51.75" thickBot="1" x14ac:dyDescent="0.3">
      <c r="B124" s="1206"/>
      <c r="C124" s="1206"/>
      <c r="D124" s="1206"/>
      <c r="E124" s="1206"/>
      <c r="F124" s="1206"/>
      <c r="G124" s="1175"/>
      <c r="H124" s="1216"/>
      <c r="I124" s="212" t="s">
        <v>28</v>
      </c>
      <c r="J124" s="212">
        <v>315</v>
      </c>
      <c r="K124" s="374" t="s">
        <v>282</v>
      </c>
      <c r="L124" s="153" t="s">
        <v>74</v>
      </c>
      <c r="M124" s="399">
        <v>6</v>
      </c>
      <c r="N124" s="384" t="s">
        <v>55</v>
      </c>
      <c r="O124" s="372"/>
      <c r="P124" s="371"/>
      <c r="Q124" s="371"/>
      <c r="R124" s="398">
        <v>13077724</v>
      </c>
      <c r="S124" s="371"/>
      <c r="T124" s="371"/>
      <c r="U124" s="371"/>
      <c r="V124" s="370">
        <f t="shared" si="23"/>
        <v>13077724</v>
      </c>
      <c r="W124" s="369">
        <f t="shared" si="24"/>
        <v>13077724</v>
      </c>
      <c r="X124" s="232"/>
      <c r="Y124" s="368">
        <v>13077724</v>
      </c>
      <c r="Z124" s="88">
        <f t="shared" si="16"/>
        <v>13077724</v>
      </c>
      <c r="AA124" s="106">
        <v>41535</v>
      </c>
      <c r="AB124" s="105">
        <v>109</v>
      </c>
      <c r="AC124" s="105" t="s">
        <v>281</v>
      </c>
      <c r="AD124" s="147"/>
      <c r="AE124" s="247"/>
      <c r="AF124" s="105"/>
      <c r="AG124" s="146"/>
      <c r="AH124" s="3">
        <f t="shared" si="25"/>
        <v>5.320727062293102E-3</v>
      </c>
      <c r="AI124" s="139">
        <v>69583</v>
      </c>
    </row>
    <row r="125" spans="2:35" s="138" customFormat="1" ht="69.75" customHeight="1" x14ac:dyDescent="0.25">
      <c r="B125" s="1206"/>
      <c r="C125" s="1206"/>
      <c r="D125" s="1206"/>
      <c r="E125" s="1206"/>
      <c r="F125" s="1206"/>
      <c r="G125" s="169"/>
      <c r="H125" s="354"/>
      <c r="I125" s="212"/>
      <c r="J125" s="212"/>
      <c r="K125" s="397" t="s">
        <v>280</v>
      </c>
      <c r="L125" s="396"/>
      <c r="M125" s="395"/>
      <c r="N125" s="395"/>
      <c r="O125" s="394"/>
      <c r="P125" s="391"/>
      <c r="Q125" s="393"/>
      <c r="R125" s="392">
        <v>22276</v>
      </c>
      <c r="S125" s="391"/>
      <c r="T125" s="391"/>
      <c r="U125" s="391"/>
      <c r="V125" s="390">
        <f t="shared" si="23"/>
        <v>22276</v>
      </c>
      <c r="W125" s="389">
        <f t="shared" si="24"/>
        <v>22276</v>
      </c>
      <c r="X125" s="232"/>
      <c r="Y125" s="368"/>
      <c r="Z125" s="88">
        <f t="shared" si="16"/>
        <v>0</v>
      </c>
      <c r="AA125" s="106"/>
      <c r="AB125" s="105"/>
      <c r="AC125" s="105"/>
      <c r="AD125" s="147"/>
      <c r="AE125" s="247"/>
      <c r="AF125" s="105"/>
      <c r="AG125" s="146"/>
      <c r="AH125" s="3"/>
      <c r="AI125" s="139"/>
    </row>
    <row r="126" spans="2:35" s="138" customFormat="1" ht="25.5" customHeight="1" x14ac:dyDescent="0.25">
      <c r="B126" s="1207"/>
      <c r="C126" s="1207"/>
      <c r="D126" s="1207"/>
      <c r="E126" s="1207"/>
      <c r="F126" s="1207"/>
      <c r="G126" s="1188" t="s">
        <v>23</v>
      </c>
      <c r="H126" s="1188"/>
      <c r="I126" s="1188"/>
      <c r="J126" s="1188"/>
      <c r="K126" s="1188"/>
      <c r="L126" s="194"/>
      <c r="M126" s="194"/>
      <c r="N126" s="194"/>
      <c r="O126" s="388">
        <f>SUM(O119:O124)</f>
        <v>0</v>
      </c>
      <c r="P126" s="388">
        <f>SUM(P119:P124)</f>
        <v>0</v>
      </c>
      <c r="Q126" s="82">
        <f>+O126+P126</f>
        <v>0</v>
      </c>
      <c r="R126" s="388">
        <f>SUM(R119:R125)</f>
        <v>67000000</v>
      </c>
      <c r="S126" s="388">
        <f>SUM(S119:S124)</f>
        <v>0</v>
      </c>
      <c r="T126" s="388"/>
      <c r="U126" s="388">
        <f>SUM(U119:U124)</f>
        <v>0</v>
      </c>
      <c r="V126" s="336">
        <f t="shared" si="23"/>
        <v>67000000</v>
      </c>
      <c r="W126" s="82">
        <f>+O126+R126</f>
        <v>67000000</v>
      </c>
      <c r="X126" s="335">
        <f>SUM(X119:X124)</f>
        <v>0</v>
      </c>
      <c r="Y126" s="335">
        <f>SUM(Y119:Y124)</f>
        <v>66977724</v>
      </c>
      <c r="Z126" s="88">
        <f t="shared" si="16"/>
        <v>66977724</v>
      </c>
      <c r="AA126" s="78"/>
      <c r="AB126" s="78"/>
      <c r="AC126" s="78"/>
      <c r="AD126" s="79">
        <f>+Z126/W126</f>
        <v>0.99966752238805967</v>
      </c>
      <c r="AE126" s="78"/>
      <c r="AF126" s="387">
        <f>SUM(AF119:AF124)</f>
        <v>0</v>
      </c>
      <c r="AG126" s="386">
        <f>SUM(AG119:AG124)</f>
        <v>0</v>
      </c>
      <c r="AH126" s="3">
        <f t="shared" ref="AH126:AH132" si="26">+AI126/Z126</f>
        <v>0</v>
      </c>
      <c r="AI126" s="139"/>
    </row>
    <row r="127" spans="2:35" s="138" customFormat="1" ht="66.75" customHeight="1" x14ac:dyDescent="0.25">
      <c r="B127" s="1205" t="str">
        <f>+B116</f>
        <v>Proyecto No. 702 : Investigación e innovación para la construcción de conocimiento educativo y pedagógico.</v>
      </c>
      <c r="C127" s="1205" t="str">
        <f>+C116</f>
        <v>EDUCACIÓN Y POLÍTICAS PÚBLICAS</v>
      </c>
      <c r="D127" s="1205" t="str">
        <f>+D116</f>
        <v>Desarrollar 16 estudios  en Educación y Políticas Públicas</v>
      </c>
      <c r="E127" s="1205" t="str">
        <f>+E116</f>
        <v>Desarrollar 4 estudios en Educación y Políticas Públicas</v>
      </c>
      <c r="F127" s="1205" t="str">
        <f>+F116</f>
        <v>Porcentaje de avance de los Estudios desarrollados en Educación y Políticas Públicas.</v>
      </c>
      <c r="G127" s="1211" t="s">
        <v>279</v>
      </c>
      <c r="H127" s="1174" t="s">
        <v>252</v>
      </c>
      <c r="I127" s="153" t="s">
        <v>28</v>
      </c>
      <c r="J127" s="153">
        <v>146</v>
      </c>
      <c r="K127" s="375" t="s">
        <v>278</v>
      </c>
      <c r="L127" s="224" t="s">
        <v>74</v>
      </c>
      <c r="M127" s="373">
        <v>5</v>
      </c>
      <c r="N127" s="212" t="s">
        <v>55</v>
      </c>
      <c r="O127" s="372"/>
      <c r="P127" s="371"/>
      <c r="Q127" s="371"/>
      <c r="R127" s="283">
        <v>20000000</v>
      </c>
      <c r="S127" s="371"/>
      <c r="T127" s="371"/>
      <c r="U127" s="371"/>
      <c r="V127" s="370">
        <f t="shared" si="23"/>
        <v>20000000</v>
      </c>
      <c r="W127" s="369">
        <f t="shared" ref="W127:W139" si="27">+Q127+V127</f>
        <v>20000000</v>
      </c>
      <c r="X127" s="232"/>
      <c r="Y127" s="368">
        <v>20000000</v>
      </c>
      <c r="Z127" s="88">
        <f t="shared" si="16"/>
        <v>20000000</v>
      </c>
      <c r="AA127" s="106">
        <v>41337</v>
      </c>
      <c r="AB127" s="105">
        <v>8</v>
      </c>
      <c r="AC127" s="367" t="s">
        <v>277</v>
      </c>
      <c r="AD127" s="147"/>
      <c r="AE127" s="247" t="s">
        <v>256</v>
      </c>
      <c r="AF127" s="105"/>
      <c r="AG127" s="146"/>
      <c r="AH127" s="3">
        <f t="shared" si="26"/>
        <v>0</v>
      </c>
      <c r="AI127" s="139">
        <v>0</v>
      </c>
    </row>
    <row r="128" spans="2:35" s="138" customFormat="1" ht="75" customHeight="1" x14ac:dyDescent="0.25">
      <c r="B128" s="1206"/>
      <c r="C128" s="1206"/>
      <c r="D128" s="1206"/>
      <c r="E128" s="1206"/>
      <c r="F128" s="1206"/>
      <c r="G128" s="1212"/>
      <c r="H128" s="1175"/>
      <c r="I128" s="153" t="s">
        <v>28</v>
      </c>
      <c r="J128" s="153">
        <v>147</v>
      </c>
      <c r="K128" s="375" t="s">
        <v>276</v>
      </c>
      <c r="L128" s="224" t="s">
        <v>74</v>
      </c>
      <c r="M128" s="373">
        <v>5</v>
      </c>
      <c r="N128" s="212" t="s">
        <v>55</v>
      </c>
      <c r="O128" s="372"/>
      <c r="P128" s="371"/>
      <c r="Q128" s="371"/>
      <c r="R128" s="283">
        <v>20000000</v>
      </c>
      <c r="S128" s="371"/>
      <c r="T128" s="371"/>
      <c r="U128" s="371"/>
      <c r="V128" s="370">
        <f t="shared" si="23"/>
        <v>20000000</v>
      </c>
      <c r="W128" s="369">
        <f t="shared" si="27"/>
        <v>20000000</v>
      </c>
      <c r="X128" s="232"/>
      <c r="Y128" s="368">
        <v>20000000</v>
      </c>
      <c r="Z128" s="88">
        <f t="shared" si="16"/>
        <v>20000000</v>
      </c>
      <c r="AA128" s="106">
        <v>41337</v>
      </c>
      <c r="AB128" s="105">
        <v>12</v>
      </c>
      <c r="AC128" s="367" t="s">
        <v>275</v>
      </c>
      <c r="AD128" s="147"/>
      <c r="AE128" s="247" t="s">
        <v>256</v>
      </c>
      <c r="AF128" s="105"/>
      <c r="AG128" s="146"/>
      <c r="AH128" s="3">
        <f t="shared" si="26"/>
        <v>0</v>
      </c>
      <c r="AI128" s="139">
        <v>0</v>
      </c>
    </row>
    <row r="129" spans="2:38" s="138" customFormat="1" ht="54" customHeight="1" x14ac:dyDescent="0.25">
      <c r="B129" s="1206"/>
      <c r="C129" s="1206"/>
      <c r="D129" s="1206"/>
      <c r="E129" s="1206"/>
      <c r="F129" s="1206"/>
      <c r="G129" s="1212"/>
      <c r="H129" s="1175"/>
      <c r="I129" s="153" t="s">
        <v>28</v>
      </c>
      <c r="J129" s="153">
        <v>148</v>
      </c>
      <c r="K129" s="375" t="s">
        <v>274</v>
      </c>
      <c r="L129" s="384" t="s">
        <v>74</v>
      </c>
      <c r="M129" s="385">
        <v>5</v>
      </c>
      <c r="N129" s="384" t="s">
        <v>55</v>
      </c>
      <c r="O129" s="381"/>
      <c r="P129" s="380"/>
      <c r="Q129" s="380"/>
      <c r="R129" s="283">
        <v>20000000</v>
      </c>
      <c r="S129" s="371"/>
      <c r="T129" s="371"/>
      <c r="U129" s="371"/>
      <c r="V129" s="370">
        <f t="shared" si="23"/>
        <v>20000000</v>
      </c>
      <c r="W129" s="369">
        <f t="shared" si="27"/>
        <v>20000000</v>
      </c>
      <c r="X129" s="232"/>
      <c r="Y129" s="368">
        <v>20000000</v>
      </c>
      <c r="Z129" s="88">
        <f t="shared" si="16"/>
        <v>20000000</v>
      </c>
      <c r="AA129" s="106">
        <v>41337</v>
      </c>
      <c r="AB129" s="105">
        <v>16</v>
      </c>
      <c r="AC129" s="367" t="s">
        <v>273</v>
      </c>
      <c r="AD129" s="147"/>
      <c r="AE129" s="247" t="s">
        <v>256</v>
      </c>
      <c r="AF129" s="105"/>
      <c r="AG129" s="146"/>
      <c r="AH129" s="3">
        <f t="shared" si="26"/>
        <v>0</v>
      </c>
      <c r="AI129" s="139">
        <v>0</v>
      </c>
    </row>
    <row r="130" spans="2:38" s="138" customFormat="1" ht="61.5" customHeight="1" x14ac:dyDescent="0.25">
      <c r="B130" s="1206"/>
      <c r="C130" s="1206"/>
      <c r="D130" s="1206"/>
      <c r="E130" s="1206"/>
      <c r="F130" s="1206"/>
      <c r="G130" s="1212"/>
      <c r="H130" s="1175"/>
      <c r="I130" s="153" t="s">
        <v>28</v>
      </c>
      <c r="J130" s="153">
        <v>149</v>
      </c>
      <c r="K130" s="375" t="s">
        <v>272</v>
      </c>
      <c r="L130" s="224" t="s">
        <v>74</v>
      </c>
      <c r="M130" s="373">
        <v>5</v>
      </c>
      <c r="N130" s="212" t="s">
        <v>55</v>
      </c>
      <c r="O130" s="372"/>
      <c r="P130" s="371"/>
      <c r="Q130" s="371"/>
      <c r="R130" s="283">
        <v>20000000</v>
      </c>
      <c r="S130" s="371"/>
      <c r="T130" s="371"/>
      <c r="U130" s="371"/>
      <c r="V130" s="370">
        <f t="shared" si="23"/>
        <v>20000000</v>
      </c>
      <c r="W130" s="369">
        <f t="shared" si="27"/>
        <v>20000000</v>
      </c>
      <c r="X130" s="232"/>
      <c r="Y130" s="368">
        <v>20000000</v>
      </c>
      <c r="Z130" s="88">
        <f t="shared" si="16"/>
        <v>20000000</v>
      </c>
      <c r="AA130" s="106">
        <v>41337</v>
      </c>
      <c r="AB130" s="105">
        <v>11</v>
      </c>
      <c r="AC130" s="377" t="s">
        <v>271</v>
      </c>
      <c r="AD130" s="147"/>
      <c r="AE130" s="247" t="s">
        <v>256</v>
      </c>
      <c r="AF130" s="105"/>
      <c r="AG130" s="146"/>
      <c r="AH130" s="3">
        <f t="shared" si="26"/>
        <v>0</v>
      </c>
      <c r="AI130" s="139">
        <v>0</v>
      </c>
    </row>
    <row r="131" spans="2:38" s="138" customFormat="1" ht="84" customHeight="1" x14ac:dyDescent="0.25">
      <c r="B131" s="1206"/>
      <c r="C131" s="1206"/>
      <c r="D131" s="1206"/>
      <c r="E131" s="1206"/>
      <c r="F131" s="1206"/>
      <c r="G131" s="1212"/>
      <c r="H131" s="1175"/>
      <c r="I131" s="153" t="s">
        <v>28</v>
      </c>
      <c r="J131" s="153">
        <v>150</v>
      </c>
      <c r="K131" s="375" t="s">
        <v>270</v>
      </c>
      <c r="L131" s="224" t="s">
        <v>74</v>
      </c>
      <c r="M131" s="373">
        <v>5</v>
      </c>
      <c r="N131" s="212" t="s">
        <v>55</v>
      </c>
      <c r="O131" s="372"/>
      <c r="P131" s="371"/>
      <c r="Q131" s="371"/>
      <c r="R131" s="361">
        <v>20000000</v>
      </c>
      <c r="S131" s="371"/>
      <c r="T131" s="371"/>
      <c r="U131" s="371"/>
      <c r="V131" s="370">
        <f t="shared" si="23"/>
        <v>20000000</v>
      </c>
      <c r="W131" s="369">
        <f t="shared" si="27"/>
        <v>20000000</v>
      </c>
      <c r="X131" s="232"/>
      <c r="Y131" s="368">
        <v>20000000</v>
      </c>
      <c r="Z131" s="88">
        <f t="shared" si="16"/>
        <v>20000000</v>
      </c>
      <c r="AA131" s="106">
        <v>41337</v>
      </c>
      <c r="AB131" s="105">
        <v>10</v>
      </c>
      <c r="AC131" s="377" t="s">
        <v>269</v>
      </c>
      <c r="AD131" s="147"/>
      <c r="AE131" s="247" t="s">
        <v>256</v>
      </c>
      <c r="AF131" s="105"/>
      <c r="AG131" s="146"/>
      <c r="AH131" s="3">
        <f t="shared" si="26"/>
        <v>0</v>
      </c>
      <c r="AI131" s="139">
        <v>0</v>
      </c>
    </row>
    <row r="132" spans="2:38" s="138" customFormat="1" ht="43.5" customHeight="1" x14ac:dyDescent="0.25">
      <c r="B132" s="1206"/>
      <c r="C132" s="1206"/>
      <c r="D132" s="1206"/>
      <c r="E132" s="1206"/>
      <c r="F132" s="1206"/>
      <c r="G132" s="1212"/>
      <c r="H132" s="1175"/>
      <c r="I132" s="153" t="s">
        <v>28</v>
      </c>
      <c r="J132" s="153">
        <v>151</v>
      </c>
      <c r="K132" s="375" t="s">
        <v>268</v>
      </c>
      <c r="L132" s="224" t="s">
        <v>74</v>
      </c>
      <c r="M132" s="373">
        <v>5</v>
      </c>
      <c r="N132" s="212" t="s">
        <v>55</v>
      </c>
      <c r="O132" s="372"/>
      <c r="P132" s="371"/>
      <c r="Q132" s="371"/>
      <c r="R132" s="361">
        <v>20000000</v>
      </c>
      <c r="S132" s="371"/>
      <c r="T132" s="371"/>
      <c r="U132" s="371"/>
      <c r="V132" s="370">
        <f t="shared" si="23"/>
        <v>20000000</v>
      </c>
      <c r="W132" s="369">
        <f t="shared" si="27"/>
        <v>20000000</v>
      </c>
      <c r="X132" s="232"/>
      <c r="Y132" s="368">
        <v>20000000</v>
      </c>
      <c r="Z132" s="88">
        <f t="shared" si="16"/>
        <v>20000000</v>
      </c>
      <c r="AA132" s="106">
        <v>41337</v>
      </c>
      <c r="AB132" s="105">
        <v>9</v>
      </c>
      <c r="AC132" s="367" t="s">
        <v>267</v>
      </c>
      <c r="AD132" s="147"/>
      <c r="AE132" s="247" t="s">
        <v>256</v>
      </c>
      <c r="AF132" s="105"/>
      <c r="AG132" s="146"/>
      <c r="AH132" s="3">
        <f t="shared" si="26"/>
        <v>0</v>
      </c>
      <c r="AI132" s="139">
        <v>0</v>
      </c>
    </row>
    <row r="133" spans="2:38" s="138" customFormat="1" ht="48.75" customHeight="1" x14ac:dyDescent="0.25">
      <c r="B133" s="1206"/>
      <c r="C133" s="1206"/>
      <c r="D133" s="1206"/>
      <c r="E133" s="1206"/>
      <c r="F133" s="1206"/>
      <c r="G133" s="1212"/>
      <c r="H133" s="1175"/>
      <c r="I133" s="153"/>
      <c r="J133" s="121">
        <v>152</v>
      </c>
      <c r="K133" s="383" t="s">
        <v>266</v>
      </c>
      <c r="L133" s="121" t="s">
        <v>74</v>
      </c>
      <c r="M133" s="382">
        <v>5</v>
      </c>
      <c r="N133" s="199" t="s">
        <v>55</v>
      </c>
      <c r="O133" s="381"/>
      <c r="P133" s="380"/>
      <c r="Q133" s="380"/>
      <c r="R133" s="314">
        <v>15000000</v>
      </c>
      <c r="S133" s="380"/>
      <c r="T133" s="380"/>
      <c r="U133" s="380"/>
      <c r="V133" s="379">
        <f t="shared" si="23"/>
        <v>15000000</v>
      </c>
      <c r="W133" s="378">
        <f t="shared" si="27"/>
        <v>15000000</v>
      </c>
      <c r="X133" s="232"/>
      <c r="Y133" s="368"/>
      <c r="Z133" s="88">
        <f t="shared" si="16"/>
        <v>0</v>
      </c>
      <c r="AA133" s="105"/>
      <c r="AB133" s="105"/>
      <c r="AC133" s="377"/>
      <c r="AD133" s="147"/>
      <c r="AE133" s="247"/>
      <c r="AF133" s="105"/>
      <c r="AG133" s="146"/>
      <c r="AH133" s="3"/>
      <c r="AI133" s="139"/>
    </row>
    <row r="134" spans="2:38" s="138" customFormat="1" ht="89.25" customHeight="1" x14ac:dyDescent="0.25">
      <c r="B134" s="1206"/>
      <c r="C134" s="1206"/>
      <c r="D134" s="1206"/>
      <c r="E134" s="1206"/>
      <c r="F134" s="1206"/>
      <c r="G134" s="1212"/>
      <c r="H134" s="1175"/>
      <c r="I134" s="153" t="s">
        <v>28</v>
      </c>
      <c r="J134" s="153">
        <v>153</v>
      </c>
      <c r="K134" s="375" t="s">
        <v>265</v>
      </c>
      <c r="L134" s="224" t="s">
        <v>74</v>
      </c>
      <c r="M134" s="373">
        <v>5</v>
      </c>
      <c r="N134" s="212" t="s">
        <v>55</v>
      </c>
      <c r="O134" s="372"/>
      <c r="P134" s="371"/>
      <c r="Q134" s="371"/>
      <c r="R134" s="361">
        <v>17500000</v>
      </c>
      <c r="S134" s="371"/>
      <c r="T134" s="371"/>
      <c r="U134" s="371"/>
      <c r="V134" s="370">
        <f t="shared" si="23"/>
        <v>17500000</v>
      </c>
      <c r="W134" s="369">
        <f t="shared" si="27"/>
        <v>17500000</v>
      </c>
      <c r="X134" s="232"/>
      <c r="Y134" s="368">
        <v>17500000</v>
      </c>
      <c r="Z134" s="88">
        <f t="shared" si="16"/>
        <v>17500000</v>
      </c>
      <c r="AA134" s="106">
        <v>41328</v>
      </c>
      <c r="AB134" s="105">
        <v>6</v>
      </c>
      <c r="AC134" s="367" t="s">
        <v>264</v>
      </c>
      <c r="AD134" s="147"/>
      <c r="AE134" s="376" t="s">
        <v>256</v>
      </c>
      <c r="AF134" s="105"/>
      <c r="AG134" s="146"/>
      <c r="AH134" s="3">
        <f t="shared" ref="AH134:AH139" si="28">+AI134/Z134</f>
        <v>0</v>
      </c>
      <c r="AI134" s="139">
        <v>0</v>
      </c>
    </row>
    <row r="135" spans="2:38" s="138" customFormat="1" ht="36.75" customHeight="1" x14ac:dyDescent="0.25">
      <c r="B135" s="1206"/>
      <c r="C135" s="1206"/>
      <c r="D135" s="1206"/>
      <c r="E135" s="1206"/>
      <c r="F135" s="1206"/>
      <c r="G135" s="1212"/>
      <c r="H135" s="1175"/>
      <c r="I135" s="153" t="s">
        <v>28</v>
      </c>
      <c r="J135" s="153">
        <v>228</v>
      </c>
      <c r="K135" s="375" t="s">
        <v>263</v>
      </c>
      <c r="L135" s="224" t="s">
        <v>121</v>
      </c>
      <c r="M135" s="373">
        <v>5</v>
      </c>
      <c r="N135" s="212" t="s">
        <v>55</v>
      </c>
      <c r="O135" s="372"/>
      <c r="P135" s="371"/>
      <c r="Q135" s="371"/>
      <c r="R135" s="361">
        <f>30000000-15000000</f>
        <v>15000000</v>
      </c>
      <c r="S135" s="371"/>
      <c r="T135" s="371"/>
      <c r="U135" s="371"/>
      <c r="V135" s="370">
        <f t="shared" si="23"/>
        <v>15000000</v>
      </c>
      <c r="W135" s="369">
        <f t="shared" si="27"/>
        <v>15000000</v>
      </c>
      <c r="X135" s="232"/>
      <c r="Y135" s="368">
        <v>15000000</v>
      </c>
      <c r="Z135" s="88">
        <f t="shared" si="16"/>
        <v>15000000</v>
      </c>
      <c r="AA135" s="106">
        <v>41355</v>
      </c>
      <c r="AB135" s="105">
        <v>33</v>
      </c>
      <c r="AC135" s="367" t="s">
        <v>262</v>
      </c>
      <c r="AD135" s="147"/>
      <c r="AE135" s="247" t="s">
        <v>256</v>
      </c>
      <c r="AF135" s="105"/>
      <c r="AG135" s="146"/>
      <c r="AH135" s="3">
        <f t="shared" si="28"/>
        <v>0</v>
      </c>
      <c r="AI135" s="139">
        <v>0</v>
      </c>
    </row>
    <row r="136" spans="2:38" s="138" customFormat="1" ht="42.75" customHeight="1" x14ac:dyDescent="0.25">
      <c r="B136" s="1206"/>
      <c r="C136" s="1206"/>
      <c r="D136" s="1206"/>
      <c r="E136" s="1206"/>
      <c r="F136" s="1206"/>
      <c r="G136" s="1212"/>
      <c r="H136" s="1175"/>
      <c r="I136" s="153" t="s">
        <v>28</v>
      </c>
      <c r="J136" s="153">
        <v>229</v>
      </c>
      <c r="K136" s="375" t="s">
        <v>261</v>
      </c>
      <c r="L136" s="224" t="s">
        <v>121</v>
      </c>
      <c r="M136" s="373">
        <v>5</v>
      </c>
      <c r="N136" s="212" t="s">
        <v>55</v>
      </c>
      <c r="O136" s="372"/>
      <c r="P136" s="371"/>
      <c r="Q136" s="371"/>
      <c r="R136" s="361">
        <v>15000000</v>
      </c>
      <c r="S136" s="371"/>
      <c r="T136" s="371"/>
      <c r="U136" s="371"/>
      <c r="V136" s="370">
        <f t="shared" si="23"/>
        <v>15000000</v>
      </c>
      <c r="W136" s="369">
        <f t="shared" si="27"/>
        <v>15000000</v>
      </c>
      <c r="X136" s="232"/>
      <c r="Y136" s="368">
        <v>15000000</v>
      </c>
      <c r="Z136" s="88">
        <f t="shared" si="16"/>
        <v>15000000</v>
      </c>
      <c r="AA136" s="106">
        <v>41355</v>
      </c>
      <c r="AB136" s="105">
        <v>34</v>
      </c>
      <c r="AC136" s="367" t="s">
        <v>260</v>
      </c>
      <c r="AD136" s="147"/>
      <c r="AE136" s="247" t="s">
        <v>256</v>
      </c>
      <c r="AF136" s="105"/>
      <c r="AG136" s="146"/>
      <c r="AH136" s="3">
        <f t="shared" si="28"/>
        <v>0</v>
      </c>
      <c r="AI136" s="139">
        <v>0</v>
      </c>
    </row>
    <row r="137" spans="2:38" s="138" customFormat="1" ht="40.5" customHeight="1" x14ac:dyDescent="0.25">
      <c r="B137" s="1206"/>
      <c r="C137" s="1206"/>
      <c r="D137" s="1206"/>
      <c r="E137" s="1206"/>
      <c r="F137" s="1206"/>
      <c r="G137" s="1212"/>
      <c r="H137" s="1175"/>
      <c r="I137" s="153" t="s">
        <v>28</v>
      </c>
      <c r="J137" s="153">
        <v>296</v>
      </c>
      <c r="K137" s="374" t="s">
        <v>259</v>
      </c>
      <c r="L137" s="223" t="s">
        <v>74</v>
      </c>
      <c r="M137" s="373">
        <v>6</v>
      </c>
      <c r="N137" s="212" t="s">
        <v>55</v>
      </c>
      <c r="O137" s="372"/>
      <c r="P137" s="371"/>
      <c r="Q137" s="371"/>
      <c r="R137" s="361">
        <f>20000000+6000000</f>
        <v>26000000</v>
      </c>
      <c r="S137" s="371"/>
      <c r="T137" s="371"/>
      <c r="U137" s="371"/>
      <c r="V137" s="370">
        <f t="shared" si="23"/>
        <v>26000000</v>
      </c>
      <c r="W137" s="369">
        <f t="shared" si="27"/>
        <v>26000000</v>
      </c>
      <c r="X137" s="232"/>
      <c r="Y137" s="368">
        <v>26000000</v>
      </c>
      <c r="Z137" s="88">
        <f t="shared" si="16"/>
        <v>26000000</v>
      </c>
      <c r="AA137" s="106">
        <v>41474</v>
      </c>
      <c r="AB137" s="105">
        <v>69</v>
      </c>
      <c r="AC137" s="367" t="s">
        <v>258</v>
      </c>
      <c r="AD137" s="147"/>
      <c r="AE137" s="247" t="s">
        <v>256</v>
      </c>
      <c r="AF137" s="105"/>
      <c r="AG137" s="146"/>
      <c r="AH137" s="3">
        <f t="shared" si="28"/>
        <v>0</v>
      </c>
      <c r="AI137" s="139">
        <v>0</v>
      </c>
    </row>
    <row r="138" spans="2:38" s="138" customFormat="1" ht="48.75" customHeight="1" x14ac:dyDescent="0.25">
      <c r="B138" s="1206"/>
      <c r="C138" s="1206"/>
      <c r="D138" s="1206"/>
      <c r="E138" s="1206"/>
      <c r="F138" s="1206"/>
      <c r="G138" s="1212"/>
      <c r="H138" s="1175"/>
      <c r="I138" s="153" t="s">
        <v>28</v>
      </c>
      <c r="J138" s="153">
        <v>252</v>
      </c>
      <c r="K138" s="374" t="s">
        <v>257</v>
      </c>
      <c r="L138" s="223" t="s">
        <v>35</v>
      </c>
      <c r="M138" s="373">
        <v>4</v>
      </c>
      <c r="N138" s="212" t="s">
        <v>55</v>
      </c>
      <c r="O138" s="372"/>
      <c r="P138" s="371"/>
      <c r="Q138" s="371"/>
      <c r="R138" s="361">
        <v>17000000</v>
      </c>
      <c r="S138" s="371"/>
      <c r="T138" s="371"/>
      <c r="U138" s="371"/>
      <c r="V138" s="370">
        <f t="shared" si="23"/>
        <v>17000000</v>
      </c>
      <c r="W138" s="369">
        <f t="shared" si="27"/>
        <v>17000000</v>
      </c>
      <c r="X138" s="232"/>
      <c r="Y138" s="368">
        <v>17000000</v>
      </c>
      <c r="Z138" s="88">
        <f t="shared" si="16"/>
        <v>17000000</v>
      </c>
      <c r="AA138" s="106">
        <v>41383</v>
      </c>
      <c r="AB138" s="105">
        <v>42</v>
      </c>
      <c r="AC138" s="367" t="s">
        <v>171</v>
      </c>
      <c r="AD138" s="147"/>
      <c r="AE138" s="247" t="s">
        <v>256</v>
      </c>
      <c r="AF138" s="105"/>
      <c r="AG138" s="146"/>
      <c r="AH138" s="3">
        <f t="shared" si="28"/>
        <v>0</v>
      </c>
      <c r="AI138" s="139">
        <v>0</v>
      </c>
    </row>
    <row r="139" spans="2:38" s="138" customFormat="1" ht="18.75" customHeight="1" x14ac:dyDescent="0.25">
      <c r="B139" s="1206"/>
      <c r="C139" s="1206"/>
      <c r="D139" s="1206"/>
      <c r="E139" s="1206"/>
      <c r="F139" s="1206"/>
      <c r="G139" s="1212"/>
      <c r="H139" s="1176"/>
      <c r="I139" s="153" t="s">
        <v>28</v>
      </c>
      <c r="J139" s="153">
        <v>303</v>
      </c>
      <c r="K139" s="374" t="s">
        <v>255</v>
      </c>
      <c r="L139" s="223" t="s">
        <v>150</v>
      </c>
      <c r="M139" s="373">
        <v>1</v>
      </c>
      <c r="N139" s="212" t="s">
        <v>55</v>
      </c>
      <c r="O139" s="372"/>
      <c r="P139" s="371"/>
      <c r="Q139" s="371"/>
      <c r="R139" s="361">
        <v>5000000</v>
      </c>
      <c r="S139" s="371"/>
      <c r="T139" s="371"/>
      <c r="U139" s="371"/>
      <c r="V139" s="370">
        <f t="shared" si="23"/>
        <v>5000000</v>
      </c>
      <c r="W139" s="369">
        <f t="shared" si="27"/>
        <v>5000000</v>
      </c>
      <c r="Y139" s="368">
        <v>5000000</v>
      </c>
      <c r="Z139" s="88">
        <f t="shared" si="16"/>
        <v>5000000</v>
      </c>
      <c r="AA139" s="106">
        <v>41495</v>
      </c>
      <c r="AB139" s="105">
        <v>42</v>
      </c>
      <c r="AC139" s="367" t="s">
        <v>171</v>
      </c>
      <c r="AD139" s="147"/>
      <c r="AE139" s="247" t="s">
        <v>254</v>
      </c>
      <c r="AF139" s="105"/>
      <c r="AG139" s="146"/>
      <c r="AH139" s="3">
        <f t="shared" si="28"/>
        <v>0</v>
      </c>
      <c r="AI139" s="139">
        <v>0</v>
      </c>
    </row>
    <row r="140" spans="2:38" s="138" customFormat="1" ht="19.5" customHeight="1" x14ac:dyDescent="0.25">
      <c r="B140" s="1207"/>
      <c r="C140" s="1207"/>
      <c r="D140" s="1207"/>
      <c r="E140" s="1207"/>
      <c r="F140" s="1207"/>
      <c r="G140" s="1188" t="s">
        <v>23</v>
      </c>
      <c r="H140" s="1188"/>
      <c r="I140" s="1188"/>
      <c r="J140" s="1188"/>
      <c r="K140" s="1188"/>
      <c r="L140" s="194"/>
      <c r="M140" s="194"/>
      <c r="N140" s="194"/>
      <c r="O140" s="82">
        <f>SUM(O127:O139)</f>
        <v>0</v>
      </c>
      <c r="P140" s="82">
        <f>SUM(P127:P139)</f>
        <v>0</v>
      </c>
      <c r="Q140" s="82">
        <f t="shared" ref="Q140:Q147" si="29">+O140+P140</f>
        <v>0</v>
      </c>
      <c r="R140" s="82">
        <f>SUM(R127:R139)</f>
        <v>230500000</v>
      </c>
      <c r="S140" s="144"/>
      <c r="T140" s="144"/>
      <c r="U140" s="144"/>
      <c r="V140" s="145">
        <f>SUM(V127:V139)</f>
        <v>230500000</v>
      </c>
      <c r="W140" s="82">
        <f>+O140+R140</f>
        <v>230500000</v>
      </c>
      <c r="X140" s="227">
        <f>SUM(X127:X138)</f>
        <v>0</v>
      </c>
      <c r="Y140" s="227">
        <f>SUM(Y127:Y139)</f>
        <v>215500000</v>
      </c>
      <c r="Z140" s="88">
        <f t="shared" si="16"/>
        <v>215500000</v>
      </c>
      <c r="AA140" s="78"/>
      <c r="AB140" s="78"/>
      <c r="AC140" s="78"/>
      <c r="AD140" s="79">
        <f>+Z140/W140</f>
        <v>0.93492407809110634</v>
      </c>
      <c r="AE140" s="366"/>
      <c r="AF140" s="78">
        <f>SUM(AF127:AF139)</f>
        <v>0</v>
      </c>
      <c r="AG140" s="226">
        <f>SUM(AG127:AG139)</f>
        <v>0</v>
      </c>
      <c r="AH140" s="3"/>
      <c r="AI140" s="139"/>
    </row>
    <row r="141" spans="2:38" ht="60" customHeight="1" x14ac:dyDescent="0.25">
      <c r="B141" s="1276" t="str">
        <f>+B127</f>
        <v>Proyecto No. 702 : Investigación e innovación para la construcción de conocimiento educativo y pedagógico.</v>
      </c>
      <c r="C141" s="1224" t="str">
        <f>+C127</f>
        <v>EDUCACIÓN Y POLÍTICAS PÚBLICAS</v>
      </c>
      <c r="D141" s="1205" t="str">
        <f>+D127</f>
        <v>Desarrollar 16 estudios  en Educación y Políticas Públicas</v>
      </c>
      <c r="E141" s="1205" t="str">
        <f>+E127</f>
        <v>Desarrollar 4 estudios en Educación y Políticas Públicas</v>
      </c>
      <c r="F141" s="1205" t="str">
        <f>+F127</f>
        <v>Porcentaje de avance de los Estudios desarrollados en Educación y Políticas Públicas.</v>
      </c>
      <c r="G141" s="1307" t="s">
        <v>253</v>
      </c>
      <c r="H141" s="1214" t="s">
        <v>252</v>
      </c>
      <c r="I141" s="365" t="s">
        <v>28</v>
      </c>
      <c r="J141" s="212">
        <v>231</v>
      </c>
      <c r="K141" s="363" t="s">
        <v>251</v>
      </c>
      <c r="L141" s="243" t="s">
        <v>121</v>
      </c>
      <c r="M141" s="242">
        <v>10</v>
      </c>
      <c r="N141" s="242" t="s">
        <v>55</v>
      </c>
      <c r="O141" s="262">
        <f>88000000-23155000</f>
        <v>64845000</v>
      </c>
      <c r="P141" s="361"/>
      <c r="Q141" s="94">
        <f t="shared" si="29"/>
        <v>64845000</v>
      </c>
      <c r="R141" s="361"/>
      <c r="S141" s="361"/>
      <c r="T141" s="361"/>
      <c r="U141" s="361"/>
      <c r="V141" s="360"/>
      <c r="W141" s="91">
        <f t="shared" ref="W141:W147" si="30">+Q141+V141</f>
        <v>64845000</v>
      </c>
      <c r="X141" s="232">
        <v>64845000</v>
      </c>
      <c r="Y141" s="50"/>
      <c r="Z141" s="88">
        <f t="shared" si="16"/>
        <v>64845000</v>
      </c>
      <c r="AA141" s="87">
        <v>41540</v>
      </c>
      <c r="AB141" s="50">
        <v>111</v>
      </c>
      <c r="AC141" s="50" t="s">
        <v>250</v>
      </c>
      <c r="AD141" s="103"/>
      <c r="AE141" s="105"/>
      <c r="AF141" s="50"/>
      <c r="AG141" s="49"/>
      <c r="AH141" s="3">
        <f>+AI141/Z141</f>
        <v>0.8</v>
      </c>
      <c r="AI141" s="2">
        <v>51876000</v>
      </c>
    </row>
    <row r="142" spans="2:38" ht="55.5" customHeight="1" x14ac:dyDescent="0.25">
      <c r="B142" s="1220"/>
      <c r="C142" s="1225"/>
      <c r="D142" s="1206"/>
      <c r="E142" s="1206"/>
      <c r="F142" s="1206"/>
      <c r="G142" s="1308"/>
      <c r="H142" s="1215"/>
      <c r="I142" s="212" t="s">
        <v>28</v>
      </c>
      <c r="J142" s="212">
        <v>232</v>
      </c>
      <c r="K142" s="363" t="s">
        <v>249</v>
      </c>
      <c r="L142" s="243" t="s">
        <v>121</v>
      </c>
      <c r="M142" s="242">
        <v>10</v>
      </c>
      <c r="N142" s="242" t="s">
        <v>55</v>
      </c>
      <c r="O142" s="262">
        <v>56000000</v>
      </c>
      <c r="P142" s="361"/>
      <c r="Q142" s="94">
        <f t="shared" si="29"/>
        <v>56000000</v>
      </c>
      <c r="R142" s="361"/>
      <c r="S142" s="361"/>
      <c r="T142" s="361"/>
      <c r="U142" s="361"/>
      <c r="V142" s="360"/>
      <c r="W142" s="91">
        <f t="shared" si="30"/>
        <v>56000000</v>
      </c>
      <c r="X142" s="232">
        <v>56000000</v>
      </c>
      <c r="Y142" s="50"/>
      <c r="Z142" s="88">
        <f t="shared" si="16"/>
        <v>56000000</v>
      </c>
      <c r="AA142" s="87">
        <v>41509</v>
      </c>
      <c r="AB142" s="50">
        <v>87</v>
      </c>
      <c r="AC142" s="50" t="s">
        <v>248</v>
      </c>
      <c r="AD142" s="103"/>
      <c r="AE142" s="50"/>
      <c r="AF142" s="50"/>
      <c r="AG142" s="49"/>
      <c r="AH142" s="3">
        <f>+AI142/Z142</f>
        <v>0.92635714285714288</v>
      </c>
      <c r="AI142" s="2">
        <v>51876000</v>
      </c>
    </row>
    <row r="143" spans="2:38" ht="36.75" customHeight="1" x14ac:dyDescent="0.25">
      <c r="B143" s="1220"/>
      <c r="C143" s="1225"/>
      <c r="D143" s="1206"/>
      <c r="E143" s="1206"/>
      <c r="F143" s="1206"/>
      <c r="G143" s="1308"/>
      <c r="H143" s="1215"/>
      <c r="I143" s="212" t="s">
        <v>28</v>
      </c>
      <c r="J143" s="212">
        <v>233</v>
      </c>
      <c r="K143" s="363" t="s">
        <v>247</v>
      </c>
      <c r="L143" s="243" t="s">
        <v>121</v>
      </c>
      <c r="M143" s="242">
        <v>10</v>
      </c>
      <c r="N143" s="242" t="s">
        <v>55</v>
      </c>
      <c r="O143" s="262">
        <v>56000000</v>
      </c>
      <c r="P143" s="361"/>
      <c r="Q143" s="94">
        <f t="shared" si="29"/>
        <v>56000000</v>
      </c>
      <c r="R143" s="361"/>
      <c r="S143" s="361"/>
      <c r="T143" s="361"/>
      <c r="U143" s="361"/>
      <c r="V143" s="360"/>
      <c r="W143" s="91">
        <f t="shared" si="30"/>
        <v>56000000</v>
      </c>
      <c r="X143" s="232">
        <v>56000000</v>
      </c>
      <c r="Y143" s="50"/>
      <c r="Z143" s="88">
        <f t="shared" si="16"/>
        <v>56000000</v>
      </c>
      <c r="AA143" s="87">
        <v>41509</v>
      </c>
      <c r="AB143" s="50">
        <v>85</v>
      </c>
      <c r="AC143" s="50" t="s">
        <v>246</v>
      </c>
      <c r="AD143" s="103"/>
      <c r="AE143" s="50"/>
      <c r="AF143" s="50"/>
      <c r="AG143" s="49"/>
      <c r="AH143" s="3">
        <f>+AI143/Z143</f>
        <v>0.7</v>
      </c>
      <c r="AI143" s="2">
        <v>39200000</v>
      </c>
      <c r="AL143" s="13"/>
    </row>
    <row r="144" spans="2:38" ht="1.5" customHeight="1" x14ac:dyDescent="0.25">
      <c r="B144" s="1220"/>
      <c r="C144" s="1225"/>
      <c r="D144" s="1206"/>
      <c r="E144" s="1206"/>
      <c r="F144" s="1206"/>
      <c r="G144" s="1308"/>
      <c r="H144" s="1215"/>
      <c r="I144" s="212"/>
      <c r="J144" s="212"/>
      <c r="K144" s="363" t="s">
        <v>245</v>
      </c>
      <c r="L144" s="243" t="s">
        <v>121</v>
      </c>
      <c r="M144" s="242">
        <v>10</v>
      </c>
      <c r="N144" s="242" t="s">
        <v>55</v>
      </c>
      <c r="O144" s="262">
        <f>56000000-56000000</f>
        <v>0</v>
      </c>
      <c r="P144" s="361"/>
      <c r="Q144" s="94">
        <f t="shared" si="29"/>
        <v>0</v>
      </c>
      <c r="R144" s="361"/>
      <c r="S144" s="361"/>
      <c r="T144" s="361"/>
      <c r="U144" s="361"/>
      <c r="V144" s="360"/>
      <c r="W144" s="91">
        <f t="shared" si="30"/>
        <v>0</v>
      </c>
      <c r="X144" s="232"/>
      <c r="Y144" s="50"/>
      <c r="Z144" s="88">
        <f t="shared" si="16"/>
        <v>0</v>
      </c>
      <c r="AA144" s="50"/>
      <c r="AB144" s="50"/>
      <c r="AC144" s="50"/>
      <c r="AD144" s="103"/>
      <c r="AE144" s="50"/>
      <c r="AF144" s="50"/>
      <c r="AG144" s="49"/>
      <c r="AH144" s="3" t="e">
        <f>+AI144/Z144</f>
        <v>#DIV/0!</v>
      </c>
      <c r="AL144" s="364"/>
    </row>
    <row r="145" spans="2:41" ht="25.5" x14ac:dyDescent="0.25">
      <c r="B145" s="1220"/>
      <c r="C145" s="1225"/>
      <c r="D145" s="1206"/>
      <c r="E145" s="1206"/>
      <c r="F145" s="1206"/>
      <c r="G145" s="1308"/>
      <c r="H145" s="1215"/>
      <c r="I145" s="212"/>
      <c r="J145" s="212"/>
      <c r="K145" s="363" t="s">
        <v>244</v>
      </c>
      <c r="L145" s="243" t="s">
        <v>121</v>
      </c>
      <c r="M145" s="242">
        <v>10</v>
      </c>
      <c r="N145" s="242" t="s">
        <v>55</v>
      </c>
      <c r="O145" s="262">
        <f>56000000-56000000</f>
        <v>0</v>
      </c>
      <c r="P145" s="361"/>
      <c r="Q145" s="94">
        <f t="shared" si="29"/>
        <v>0</v>
      </c>
      <c r="R145" s="361"/>
      <c r="S145" s="361"/>
      <c r="T145" s="361"/>
      <c r="U145" s="361"/>
      <c r="V145" s="360"/>
      <c r="W145" s="91">
        <f t="shared" si="30"/>
        <v>0</v>
      </c>
      <c r="X145" s="232"/>
      <c r="Y145" s="50"/>
      <c r="Z145" s="88">
        <f t="shared" si="16"/>
        <v>0</v>
      </c>
      <c r="AA145" s="50"/>
      <c r="AB145" s="50"/>
      <c r="AC145" s="50"/>
      <c r="AD145" s="103"/>
      <c r="AE145" s="50"/>
      <c r="AF145" s="50"/>
      <c r="AG145" s="49"/>
      <c r="AL145" s="356"/>
    </row>
    <row r="146" spans="2:41" ht="55.5" customHeight="1" x14ac:dyDescent="0.25">
      <c r="B146" s="1220"/>
      <c r="C146" s="1225"/>
      <c r="D146" s="1206"/>
      <c r="E146" s="1206"/>
      <c r="F146" s="1206"/>
      <c r="G146" s="1308"/>
      <c r="H146" s="1215"/>
      <c r="I146" s="212" t="s">
        <v>28</v>
      </c>
      <c r="J146" s="212">
        <v>319</v>
      </c>
      <c r="K146" s="363" t="s">
        <v>173</v>
      </c>
      <c r="L146" s="243" t="s">
        <v>150</v>
      </c>
      <c r="M146" s="242">
        <v>9</v>
      </c>
      <c r="N146" s="242" t="s">
        <v>55</v>
      </c>
      <c r="O146" s="262">
        <v>10000000</v>
      </c>
      <c r="P146" s="361"/>
      <c r="Q146" s="94">
        <f t="shared" si="29"/>
        <v>10000000</v>
      </c>
      <c r="R146" s="361"/>
      <c r="S146" s="361"/>
      <c r="T146" s="361"/>
      <c r="U146" s="361"/>
      <c r="V146" s="360"/>
      <c r="W146" s="91">
        <f t="shared" si="30"/>
        <v>10000000</v>
      </c>
      <c r="X146" s="232">
        <v>10000000</v>
      </c>
      <c r="Y146" s="50"/>
      <c r="Z146" s="88">
        <f t="shared" si="16"/>
        <v>10000000</v>
      </c>
      <c r="AA146" s="87">
        <v>41572</v>
      </c>
      <c r="AB146" s="50">
        <v>120</v>
      </c>
      <c r="AC146" s="50" t="s">
        <v>171</v>
      </c>
      <c r="AD146" s="103"/>
      <c r="AE146" s="50"/>
      <c r="AF146" s="50"/>
      <c r="AG146" s="49"/>
      <c r="AI146" s="271"/>
      <c r="AM146" s="356"/>
      <c r="AO146" s="356"/>
    </row>
    <row r="147" spans="2:41" ht="51" customHeight="1" x14ac:dyDescent="0.25">
      <c r="B147" s="1220"/>
      <c r="C147" s="1225"/>
      <c r="D147" s="1206"/>
      <c r="E147" s="1206"/>
      <c r="F147" s="1206"/>
      <c r="G147" s="1308"/>
      <c r="H147" s="1215"/>
      <c r="I147" s="212" t="s">
        <v>28</v>
      </c>
      <c r="J147" s="212">
        <v>279</v>
      </c>
      <c r="K147" s="362" t="s">
        <v>243</v>
      </c>
      <c r="L147" s="243" t="s">
        <v>59</v>
      </c>
      <c r="M147" s="269">
        <v>1</v>
      </c>
      <c r="N147" s="269" t="s">
        <v>46</v>
      </c>
      <c r="O147" s="262">
        <v>9298725</v>
      </c>
      <c r="P147" s="361"/>
      <c r="Q147" s="94">
        <f t="shared" si="29"/>
        <v>9298725</v>
      </c>
      <c r="R147" s="361"/>
      <c r="S147" s="361"/>
      <c r="T147" s="361"/>
      <c r="U147" s="361"/>
      <c r="V147" s="360"/>
      <c r="W147" s="91">
        <f t="shared" si="30"/>
        <v>9298725</v>
      </c>
      <c r="X147" s="232">
        <v>9298725</v>
      </c>
      <c r="Y147" s="50"/>
      <c r="Z147" s="88">
        <f t="shared" si="16"/>
        <v>9298725</v>
      </c>
      <c r="AA147" s="87">
        <v>41556</v>
      </c>
      <c r="AB147" s="50">
        <v>117</v>
      </c>
      <c r="AC147" s="50" t="s">
        <v>125</v>
      </c>
      <c r="AD147" s="103"/>
      <c r="AE147" s="50"/>
      <c r="AF147" s="50"/>
      <c r="AG147" s="49"/>
      <c r="AH147" s="3">
        <f>+AI147/Z147</f>
        <v>0</v>
      </c>
      <c r="AI147" s="240"/>
      <c r="AO147" s="356"/>
    </row>
    <row r="148" spans="2:41" ht="51" customHeight="1" x14ac:dyDescent="0.25">
      <c r="B148" s="1220"/>
      <c r="C148" s="1225"/>
      <c r="D148" s="1206"/>
      <c r="E148" s="1206"/>
      <c r="F148" s="1206"/>
      <c r="G148" s="1308"/>
      <c r="H148" s="1215"/>
      <c r="I148" s="355"/>
      <c r="J148" s="212"/>
      <c r="K148" s="359" t="s">
        <v>242</v>
      </c>
      <c r="L148" s="238"/>
      <c r="M148" s="238"/>
      <c r="N148" s="238"/>
      <c r="O148" s="358">
        <f>10000000-9298725</f>
        <v>701275</v>
      </c>
      <c r="P148" s="357"/>
      <c r="Q148" s="205"/>
      <c r="R148" s="357"/>
      <c r="S148" s="357"/>
      <c r="T148" s="357"/>
      <c r="U148" s="357"/>
      <c r="V148" s="204"/>
      <c r="W148" s="203">
        <f>+O148+R148</f>
        <v>701275</v>
      </c>
      <c r="X148" s="232"/>
      <c r="Y148" s="50"/>
      <c r="Z148" s="88">
        <f t="shared" si="16"/>
        <v>0</v>
      </c>
      <c r="AA148" s="50"/>
      <c r="AB148" s="50"/>
      <c r="AC148" s="50"/>
      <c r="AD148" s="103"/>
      <c r="AE148" s="50"/>
      <c r="AF148" s="50"/>
      <c r="AG148" s="49"/>
      <c r="AO148" s="356"/>
    </row>
    <row r="149" spans="2:41" ht="50.25" customHeight="1" x14ac:dyDescent="0.25">
      <c r="B149" s="1220"/>
      <c r="C149" s="1225"/>
      <c r="D149" s="1206"/>
      <c r="E149" s="1206"/>
      <c r="F149" s="1206"/>
      <c r="G149" s="1308"/>
      <c r="H149" s="1215"/>
      <c r="I149" s="355"/>
      <c r="J149" s="212"/>
      <c r="K149" s="353" t="s">
        <v>241</v>
      </c>
      <c r="L149" s="243" t="s">
        <v>150</v>
      </c>
      <c r="M149" s="242">
        <v>7</v>
      </c>
      <c r="N149" s="242" t="s">
        <v>117</v>
      </c>
      <c r="O149" s="352">
        <f>70000000-70000000</f>
        <v>0</v>
      </c>
      <c r="P149" s="287"/>
      <c r="Q149" s="116">
        <f>+O149+P149</f>
        <v>0</v>
      </c>
      <c r="R149" s="287"/>
      <c r="S149" s="287"/>
      <c r="T149" s="287"/>
      <c r="U149" s="287"/>
      <c r="V149" s="351"/>
      <c r="W149" s="91">
        <f>+Q149+V149</f>
        <v>0</v>
      </c>
      <c r="X149" s="232"/>
      <c r="Y149" s="50"/>
      <c r="Z149" s="88">
        <f t="shared" si="16"/>
        <v>0</v>
      </c>
      <c r="AA149" s="50"/>
      <c r="AB149" s="50"/>
      <c r="AC149" s="50"/>
      <c r="AD149" s="103"/>
      <c r="AE149" s="50"/>
      <c r="AF149" s="50"/>
      <c r="AG149" s="49"/>
    </row>
    <row r="150" spans="2:41" ht="46.5" customHeight="1" x14ac:dyDescent="0.25">
      <c r="B150" s="1220"/>
      <c r="C150" s="1225"/>
      <c r="D150" s="1206"/>
      <c r="E150" s="1206"/>
      <c r="F150" s="1206"/>
      <c r="G150" s="1308"/>
      <c r="H150" s="1215"/>
      <c r="I150" s="355"/>
      <c r="J150" s="212"/>
      <c r="K150" s="353" t="s">
        <v>240</v>
      </c>
      <c r="L150" s="243" t="s">
        <v>150</v>
      </c>
      <c r="M150" s="242">
        <v>7</v>
      </c>
      <c r="N150" s="242" t="s">
        <v>117</v>
      </c>
      <c r="O150" s="352">
        <f>98000000-98000000</f>
        <v>0</v>
      </c>
      <c r="P150" s="287"/>
      <c r="Q150" s="116">
        <f>+O150+P150</f>
        <v>0</v>
      </c>
      <c r="R150" s="287"/>
      <c r="S150" s="287"/>
      <c r="T150" s="287"/>
      <c r="U150" s="287"/>
      <c r="V150" s="351"/>
      <c r="W150" s="91">
        <f>+Q150+V150</f>
        <v>0</v>
      </c>
      <c r="X150" s="232"/>
      <c r="Y150" s="50"/>
      <c r="Z150" s="88">
        <f t="shared" ref="Z150:Z213" si="31">+X150+Y150</f>
        <v>0</v>
      </c>
      <c r="AA150" s="50"/>
      <c r="AB150" s="50"/>
      <c r="AC150" s="50"/>
      <c r="AD150" s="103"/>
      <c r="AE150" s="50"/>
      <c r="AF150" s="50"/>
      <c r="AG150" s="49"/>
    </row>
    <row r="151" spans="2:41" ht="70.5" customHeight="1" x14ac:dyDescent="0.25">
      <c r="B151" s="1220"/>
      <c r="C151" s="1225"/>
      <c r="D151" s="1206"/>
      <c r="E151" s="1206"/>
      <c r="F151" s="1206"/>
      <c r="G151" s="1309"/>
      <c r="H151" s="1216"/>
      <c r="I151" s="354" t="s">
        <v>28</v>
      </c>
      <c r="J151" s="212">
        <v>331</v>
      </c>
      <c r="K151" s="353" t="s">
        <v>239</v>
      </c>
      <c r="L151" s="243"/>
      <c r="M151" s="242"/>
      <c r="N151" s="242"/>
      <c r="O151" s="352">
        <f>2511886+687992000</f>
        <v>690503886</v>
      </c>
      <c r="P151" s="287"/>
      <c r="Q151" s="116"/>
      <c r="R151" s="283">
        <v>82861500</v>
      </c>
      <c r="S151" s="287"/>
      <c r="T151" s="287"/>
      <c r="U151" s="287"/>
      <c r="V151" s="351"/>
      <c r="W151" s="91">
        <f>+O151+R151</f>
        <v>773365386</v>
      </c>
      <c r="X151" s="232">
        <v>690503886</v>
      </c>
      <c r="Y151" s="137">
        <v>82861500</v>
      </c>
      <c r="Z151" s="88">
        <f t="shared" si="31"/>
        <v>773365386</v>
      </c>
      <c r="AA151" s="50"/>
      <c r="AB151" s="50">
        <v>98</v>
      </c>
      <c r="AC151" s="50" t="s">
        <v>238</v>
      </c>
      <c r="AD151" s="103"/>
      <c r="AE151" s="86" t="s">
        <v>230</v>
      </c>
      <c r="AF151" s="107">
        <f>+R151</f>
        <v>82861500</v>
      </c>
      <c r="AG151" s="342">
        <f>+AF151</f>
        <v>82861500</v>
      </c>
      <c r="AH151" s="3">
        <f>+AI151/Z151</f>
        <v>0.60000000051721991</v>
      </c>
      <c r="AI151" s="2">
        <v>464019232</v>
      </c>
    </row>
    <row r="152" spans="2:41" ht="35.25" customHeight="1" x14ac:dyDescent="0.25">
      <c r="B152" s="1220"/>
      <c r="C152" s="1225"/>
      <c r="D152" s="1206"/>
      <c r="E152" s="1206"/>
      <c r="F152" s="1206"/>
      <c r="G152" s="1188" t="s">
        <v>23</v>
      </c>
      <c r="H152" s="1188"/>
      <c r="I152" s="1188"/>
      <c r="J152" s="1188"/>
      <c r="K152" s="1188"/>
      <c r="L152" s="102"/>
      <c r="M152" s="102"/>
      <c r="N152" s="102"/>
      <c r="O152" s="82">
        <f>SUM(O141:O151)</f>
        <v>887348886</v>
      </c>
      <c r="P152" s="82">
        <f>+P141+P142+P143+P144+P145+P146+P147+P149+P150</f>
        <v>0</v>
      </c>
      <c r="Q152" s="82">
        <f>+Q141+Q142+Q143+Q144+Q145+Q146+Q147+Q149+Q150</f>
        <v>196143725</v>
      </c>
      <c r="R152" s="82">
        <f>+R151</f>
        <v>82861500</v>
      </c>
      <c r="S152" s="82">
        <f>+S141+S142+S143+S144+S145+S146+S147+S149+S150</f>
        <v>0</v>
      </c>
      <c r="T152" s="82">
        <f>+T141+T142+T143+T144+T145+T146+T147+T149+T150</f>
        <v>0</v>
      </c>
      <c r="U152" s="82">
        <f>+U141+U142+U143+U144+U145+U146+U147+U149+U150</f>
        <v>0</v>
      </c>
      <c r="V152" s="82">
        <f>+V141+V142+V143+V144+V145+V146+V147+V149+V150</f>
        <v>0</v>
      </c>
      <c r="W152" s="82">
        <f>SUM(W141:W151)</f>
        <v>970210386</v>
      </c>
      <c r="X152" s="227">
        <f>SUM(X141:X151)</f>
        <v>886647611</v>
      </c>
      <c r="Y152" s="227">
        <f>SUM(Y141:Y151)</f>
        <v>82861500</v>
      </c>
      <c r="Z152" s="88">
        <f t="shared" si="31"/>
        <v>969509111</v>
      </c>
      <c r="AA152" s="78"/>
      <c r="AB152" s="78"/>
      <c r="AC152" s="350"/>
      <c r="AD152" s="79">
        <f>+Z152/W152</f>
        <v>0.99927719285412808</v>
      </c>
      <c r="AE152" s="78"/>
      <c r="AF152" s="349">
        <f>SUM(AF141:AF151)</f>
        <v>82861500</v>
      </c>
      <c r="AG152" s="348">
        <f>SUM(AG141:AG151)</f>
        <v>82861500</v>
      </c>
    </row>
    <row r="153" spans="2:41" ht="39.75" customHeight="1" x14ac:dyDescent="0.25">
      <c r="B153" s="1220"/>
      <c r="C153" s="1225"/>
      <c r="D153" s="1206"/>
      <c r="E153" s="1206"/>
      <c r="F153" s="1206"/>
      <c r="G153" s="1204" t="s">
        <v>237</v>
      </c>
      <c r="H153" s="1204"/>
      <c r="I153" s="1204"/>
      <c r="J153" s="1204"/>
      <c r="K153" s="1204"/>
      <c r="L153" s="333"/>
      <c r="M153" s="333"/>
      <c r="N153" s="333"/>
      <c r="O153" s="74">
        <f t="shared" ref="O153:Y153" si="32">+O152+O140+O126+O118+O115+O100</f>
        <v>1252511886</v>
      </c>
      <c r="P153" s="74">
        <f t="shared" si="32"/>
        <v>0</v>
      </c>
      <c r="Q153" s="74">
        <f t="shared" si="32"/>
        <v>546306725</v>
      </c>
      <c r="R153" s="74">
        <f t="shared" si="32"/>
        <v>637500000</v>
      </c>
      <c r="S153" s="74">
        <f t="shared" si="32"/>
        <v>340000000</v>
      </c>
      <c r="T153" s="74">
        <f t="shared" si="32"/>
        <v>340000000</v>
      </c>
      <c r="U153" s="74">
        <f t="shared" si="32"/>
        <v>0</v>
      </c>
      <c r="V153" s="74">
        <f t="shared" si="32"/>
        <v>507468000</v>
      </c>
      <c r="W153" s="74">
        <f t="shared" si="32"/>
        <v>1890011886</v>
      </c>
      <c r="X153" s="74">
        <f t="shared" si="32"/>
        <v>1251810611</v>
      </c>
      <c r="Y153" s="74">
        <f t="shared" si="32"/>
        <v>622445724</v>
      </c>
      <c r="Z153" s="88">
        <f t="shared" si="31"/>
        <v>1874256335</v>
      </c>
      <c r="AA153" s="71"/>
      <c r="AB153" s="71"/>
      <c r="AC153" s="71"/>
      <c r="AD153" s="70">
        <f>+Z153/W153</f>
        <v>0.99166378205517802</v>
      </c>
      <c r="AE153" s="71"/>
      <c r="AF153" s="347">
        <f>+AF100+AF115+AF118+AF126+AF140+AF151</f>
        <v>339968000</v>
      </c>
      <c r="AG153" s="346">
        <f>+AG100+AG115+AG118+AG126+AG140+AG151</f>
        <v>339968000</v>
      </c>
    </row>
    <row r="154" spans="2:41" ht="93" customHeight="1" x14ac:dyDescent="0.25">
      <c r="B154" s="1220"/>
      <c r="C154" s="1225"/>
      <c r="D154" s="1219" t="s">
        <v>160</v>
      </c>
      <c r="E154" s="1219" t="s">
        <v>236</v>
      </c>
      <c r="F154" s="1219" t="s">
        <v>235</v>
      </c>
      <c r="G154" s="1174" t="s">
        <v>234</v>
      </c>
      <c r="H154" s="1214" t="s">
        <v>233</v>
      </c>
      <c r="I154" s="212" t="s">
        <v>28</v>
      </c>
      <c r="J154" s="212">
        <v>230</v>
      </c>
      <c r="K154" s="345" t="s">
        <v>232</v>
      </c>
      <c r="L154" s="340" t="s">
        <v>121</v>
      </c>
      <c r="M154" s="340">
        <v>10</v>
      </c>
      <c r="N154" s="340" t="s">
        <v>55</v>
      </c>
      <c r="O154" s="344">
        <v>54845000</v>
      </c>
      <c r="P154" s="338"/>
      <c r="Q154" s="338">
        <f>+O154+P154</f>
        <v>54845000</v>
      </c>
      <c r="R154" s="283">
        <v>10000000</v>
      </c>
      <c r="S154" s="338">
        <v>10000000</v>
      </c>
      <c r="T154" s="338">
        <v>10000000</v>
      </c>
      <c r="U154" s="338"/>
      <c r="V154" s="337">
        <f>+R154+U154</f>
        <v>10000000</v>
      </c>
      <c r="W154" s="74">
        <f>+Q154+V154</f>
        <v>64845000</v>
      </c>
      <c r="X154" s="137">
        <v>54845000</v>
      </c>
      <c r="Y154" s="343">
        <v>10000000</v>
      </c>
      <c r="Z154" s="88">
        <f t="shared" si="31"/>
        <v>64845000</v>
      </c>
      <c r="AA154" s="87">
        <v>41354</v>
      </c>
      <c r="AB154" s="50">
        <v>32</v>
      </c>
      <c r="AC154" s="50" t="s">
        <v>231</v>
      </c>
      <c r="AD154" s="103"/>
      <c r="AE154" s="86" t="s">
        <v>230</v>
      </c>
      <c r="AF154" s="107">
        <f>+R154</f>
        <v>10000000</v>
      </c>
      <c r="AG154" s="342">
        <f>+AF154</f>
        <v>10000000</v>
      </c>
      <c r="AH154" s="3">
        <f>+AI154/Z154</f>
        <v>0.46</v>
      </c>
      <c r="AI154" s="2">
        <v>29828700</v>
      </c>
    </row>
    <row r="155" spans="2:41" ht="93" customHeight="1" x14ac:dyDescent="0.25">
      <c r="B155" s="1220"/>
      <c r="C155" s="1225"/>
      <c r="D155" s="1219"/>
      <c r="E155" s="1219"/>
      <c r="F155" s="1219"/>
      <c r="G155" s="1175"/>
      <c r="H155" s="1215"/>
      <c r="I155" s="212" t="s">
        <v>28</v>
      </c>
      <c r="J155" s="212">
        <v>178</v>
      </c>
      <c r="K155" s="264" t="s">
        <v>229</v>
      </c>
      <c r="L155" s="340" t="s">
        <v>121</v>
      </c>
      <c r="M155" s="340">
        <v>10</v>
      </c>
      <c r="N155" s="340" t="s">
        <v>55</v>
      </c>
      <c r="O155" s="339">
        <v>61000000</v>
      </c>
      <c r="P155" s="338"/>
      <c r="Q155" s="338">
        <f>+O155+P155</f>
        <v>61000000</v>
      </c>
      <c r="R155" s="338"/>
      <c r="S155" s="338"/>
      <c r="T155" s="338"/>
      <c r="U155" s="338"/>
      <c r="V155" s="337">
        <f>+R155+U155</f>
        <v>0</v>
      </c>
      <c r="W155" s="74">
        <f>+Q155+V155</f>
        <v>61000000</v>
      </c>
      <c r="X155" s="137">
        <v>61000000</v>
      </c>
      <c r="Y155" s="136"/>
      <c r="Z155" s="88">
        <f t="shared" si="31"/>
        <v>61000000</v>
      </c>
      <c r="AA155" s="87">
        <v>41354</v>
      </c>
      <c r="AB155" s="50">
        <v>30</v>
      </c>
      <c r="AC155" s="50" t="s">
        <v>228</v>
      </c>
      <c r="AD155" s="103"/>
      <c r="AE155" s="286"/>
      <c r="AF155" s="50"/>
      <c r="AG155" s="49"/>
      <c r="AH155" s="3">
        <f>+AI155/Z155</f>
        <v>0.28000000000000003</v>
      </c>
      <c r="AI155" s="2">
        <v>17080000</v>
      </c>
    </row>
    <row r="156" spans="2:41" ht="118.5" customHeight="1" x14ac:dyDescent="0.25">
      <c r="B156" s="1220"/>
      <c r="C156" s="1225"/>
      <c r="D156" s="1219"/>
      <c r="E156" s="1219"/>
      <c r="F156" s="1219"/>
      <c r="G156" s="1175"/>
      <c r="H156" s="1215"/>
      <c r="I156" s="212" t="s">
        <v>28</v>
      </c>
      <c r="J156" s="212">
        <v>179</v>
      </c>
      <c r="K156" s="244" t="s">
        <v>227</v>
      </c>
      <c r="L156" s="340" t="s">
        <v>121</v>
      </c>
      <c r="M156" s="340">
        <v>10</v>
      </c>
      <c r="N156" s="340" t="s">
        <v>55</v>
      </c>
      <c r="O156" s="339">
        <v>41265000</v>
      </c>
      <c r="P156" s="338"/>
      <c r="Q156" s="338">
        <f>+O156+P156</f>
        <v>41265000</v>
      </c>
      <c r="R156" s="338"/>
      <c r="S156" s="338"/>
      <c r="T156" s="338"/>
      <c r="U156" s="338"/>
      <c r="V156" s="337">
        <f>+R156+U156</f>
        <v>0</v>
      </c>
      <c r="W156" s="74">
        <f>+Q156+V156</f>
        <v>41265000</v>
      </c>
      <c r="X156" s="137">
        <v>41265000</v>
      </c>
      <c r="Y156" s="136"/>
      <c r="Z156" s="88">
        <f t="shared" si="31"/>
        <v>41265000</v>
      </c>
      <c r="AA156" s="87">
        <v>41344</v>
      </c>
      <c r="AB156" s="50">
        <v>17</v>
      </c>
      <c r="AC156" s="86" t="s">
        <v>226</v>
      </c>
      <c r="AD156" s="103"/>
      <c r="AE156" s="86"/>
      <c r="AF156" s="50"/>
      <c r="AG156" s="49"/>
      <c r="AH156" s="3">
        <f>+AI156/Z156</f>
        <v>0.2</v>
      </c>
      <c r="AI156" s="2">
        <v>8253000</v>
      </c>
    </row>
    <row r="157" spans="2:41" ht="132.75" customHeight="1" x14ac:dyDescent="0.25">
      <c r="B157" s="1220"/>
      <c r="C157" s="1225"/>
      <c r="D157" s="1219"/>
      <c r="E157" s="1219"/>
      <c r="F157" s="1219"/>
      <c r="G157" s="1176"/>
      <c r="H157" s="1216"/>
      <c r="I157" s="212" t="s">
        <v>28</v>
      </c>
      <c r="J157" s="212">
        <v>319</v>
      </c>
      <c r="K157" s="292" t="s">
        <v>225</v>
      </c>
      <c r="L157" s="341" t="s">
        <v>121</v>
      </c>
      <c r="M157" s="340">
        <v>9</v>
      </c>
      <c r="N157" s="340" t="s">
        <v>55</v>
      </c>
      <c r="O157" s="339">
        <v>12890000</v>
      </c>
      <c r="P157" s="338"/>
      <c r="Q157" s="338">
        <f>+O157+P157</f>
        <v>12890000</v>
      </c>
      <c r="R157" s="338"/>
      <c r="S157" s="338"/>
      <c r="T157" s="338"/>
      <c r="U157" s="338"/>
      <c r="V157" s="337">
        <f>+R157+U157</f>
        <v>0</v>
      </c>
      <c r="W157" s="74">
        <f>+Q157+V157</f>
        <v>12890000</v>
      </c>
      <c r="X157" s="137">
        <v>12890000</v>
      </c>
      <c r="Y157" s="136"/>
      <c r="Z157" s="88">
        <f t="shared" si="31"/>
        <v>12890000</v>
      </c>
      <c r="AA157" s="87">
        <v>41572</v>
      </c>
      <c r="AB157" s="50">
        <v>120</v>
      </c>
      <c r="AC157" s="50" t="s">
        <v>171</v>
      </c>
      <c r="AD157" s="103"/>
      <c r="AE157" s="86"/>
      <c r="AF157" s="50"/>
      <c r="AG157" s="49"/>
      <c r="AI157" s="271"/>
    </row>
    <row r="158" spans="2:41" ht="55.5" customHeight="1" x14ac:dyDescent="0.25">
      <c r="B158" s="1220"/>
      <c r="C158" s="1225"/>
      <c r="D158" s="1219"/>
      <c r="E158" s="1219"/>
      <c r="F158" s="1219"/>
      <c r="G158" s="1188" t="s">
        <v>23</v>
      </c>
      <c r="H158" s="1188"/>
      <c r="I158" s="1188"/>
      <c r="J158" s="1188"/>
      <c r="K158" s="1188"/>
      <c r="L158" s="102"/>
      <c r="M158" s="102"/>
      <c r="N158" s="102"/>
      <c r="O158" s="82">
        <f t="shared" ref="O158:V158" si="33">SUM(O154:O157)</f>
        <v>170000000</v>
      </c>
      <c r="P158" s="82">
        <f t="shared" si="33"/>
        <v>0</v>
      </c>
      <c r="Q158" s="82">
        <f t="shared" si="33"/>
        <v>170000000</v>
      </c>
      <c r="R158" s="82">
        <f t="shared" si="33"/>
        <v>10000000</v>
      </c>
      <c r="S158" s="82">
        <f t="shared" si="33"/>
        <v>10000000</v>
      </c>
      <c r="T158" s="82">
        <f t="shared" si="33"/>
        <v>10000000</v>
      </c>
      <c r="U158" s="82">
        <f t="shared" si="33"/>
        <v>0</v>
      </c>
      <c r="V158" s="336">
        <f t="shared" si="33"/>
        <v>10000000</v>
      </c>
      <c r="W158" s="82">
        <f>+O158+R158</f>
        <v>180000000</v>
      </c>
      <c r="X158" s="81">
        <f>SUM(X154:X157)</f>
        <v>170000000</v>
      </c>
      <c r="Y158" s="81">
        <f>SUM(Y154:Y157)</f>
        <v>10000000</v>
      </c>
      <c r="Z158" s="88">
        <f t="shared" si="31"/>
        <v>180000000</v>
      </c>
      <c r="AA158" s="78"/>
      <c r="AB158" s="78"/>
      <c r="AC158" s="78"/>
      <c r="AD158" s="79">
        <f>+Z158/W158</f>
        <v>1</v>
      </c>
      <c r="AE158" s="78"/>
      <c r="AF158" s="335">
        <f>SUM(AF154:AF157)</f>
        <v>10000000</v>
      </c>
      <c r="AG158" s="334">
        <f>SUM(AG154:AG157)</f>
        <v>10000000</v>
      </c>
    </row>
    <row r="159" spans="2:41" ht="61.5" customHeight="1" x14ac:dyDescent="0.25">
      <c r="B159" s="1220"/>
      <c r="C159" s="1226"/>
      <c r="D159" s="1219"/>
      <c r="E159" s="1219"/>
      <c r="F159" s="1219"/>
      <c r="G159" s="1204" t="s">
        <v>224</v>
      </c>
      <c r="H159" s="1204"/>
      <c r="I159" s="1204"/>
      <c r="J159" s="1204"/>
      <c r="K159" s="1204"/>
      <c r="L159" s="333"/>
      <c r="M159" s="333"/>
      <c r="N159" s="333"/>
      <c r="O159" s="74">
        <f>+O158</f>
        <v>170000000</v>
      </c>
      <c r="P159" s="74" t="e">
        <f>SUM(#REF!)</f>
        <v>#REF!</v>
      </c>
      <c r="Q159" s="74">
        <f>+Q158</f>
        <v>170000000</v>
      </c>
      <c r="R159" s="74">
        <f>+R158</f>
        <v>10000000</v>
      </c>
      <c r="S159" s="74">
        <f>+S158</f>
        <v>10000000</v>
      </c>
      <c r="T159" s="74">
        <f>+T158</f>
        <v>10000000</v>
      </c>
      <c r="U159" s="74" t="e">
        <f>SUM(#REF!)</f>
        <v>#REF!</v>
      </c>
      <c r="V159" s="75">
        <f>+V158</f>
        <v>10000000</v>
      </c>
      <c r="W159" s="74">
        <f>+W158</f>
        <v>180000000</v>
      </c>
      <c r="X159" s="74">
        <f>+X158</f>
        <v>170000000</v>
      </c>
      <c r="Y159" s="74">
        <f>+Y158</f>
        <v>10000000</v>
      </c>
      <c r="Z159" s="88">
        <f t="shared" si="31"/>
        <v>180000000</v>
      </c>
      <c r="AA159" s="71"/>
      <c r="AB159" s="71"/>
      <c r="AC159" s="71"/>
      <c r="AD159" s="70">
        <f>+Z159/W159</f>
        <v>1</v>
      </c>
      <c r="AE159" s="71"/>
      <c r="AF159" s="257">
        <f>+AF158</f>
        <v>10000000</v>
      </c>
      <c r="AG159" s="332">
        <f>+AG158</f>
        <v>10000000</v>
      </c>
    </row>
    <row r="160" spans="2:41" ht="69" customHeight="1" x14ac:dyDescent="0.25">
      <c r="B160" s="1221"/>
      <c r="C160" s="1203" t="s">
        <v>223</v>
      </c>
      <c r="D160" s="1203"/>
      <c r="E160" s="1203"/>
      <c r="F160" s="1203"/>
      <c r="G160" s="1203"/>
      <c r="H160" s="1203"/>
      <c r="I160" s="1203"/>
      <c r="J160" s="1203"/>
      <c r="K160" s="1203"/>
      <c r="L160" s="331"/>
      <c r="M160" s="66"/>
      <c r="N160" s="66"/>
      <c r="O160" s="330">
        <f t="shared" ref="O160:V160" si="34">+O153+O159</f>
        <v>1422511886</v>
      </c>
      <c r="P160" s="330" t="e">
        <f t="shared" si="34"/>
        <v>#REF!</v>
      </c>
      <c r="Q160" s="330">
        <f t="shared" si="34"/>
        <v>716306725</v>
      </c>
      <c r="R160" s="330">
        <f t="shared" si="34"/>
        <v>647500000</v>
      </c>
      <c r="S160" s="330">
        <f t="shared" si="34"/>
        <v>350000000</v>
      </c>
      <c r="T160" s="330">
        <f t="shared" si="34"/>
        <v>350000000</v>
      </c>
      <c r="U160" s="330" t="e">
        <f t="shared" si="34"/>
        <v>#REF!</v>
      </c>
      <c r="V160" s="330">
        <f t="shared" si="34"/>
        <v>517468000</v>
      </c>
      <c r="W160" s="330">
        <f>+O160+R160</f>
        <v>2070011886</v>
      </c>
      <c r="X160" s="330">
        <f>+X153+X159</f>
        <v>1421810611</v>
      </c>
      <c r="Y160" s="330">
        <f>+Y153+Y159</f>
        <v>632445724</v>
      </c>
      <c r="Z160" s="88">
        <f t="shared" si="31"/>
        <v>2054256335</v>
      </c>
      <c r="AA160" s="60"/>
      <c r="AB160" s="60"/>
      <c r="AC160" s="60"/>
      <c r="AD160" s="59">
        <f>+Z160/W160</f>
        <v>0.99238866640981205</v>
      </c>
      <c r="AE160" s="60"/>
      <c r="AF160" s="329">
        <f>+AF159+AF153</f>
        <v>349968000</v>
      </c>
      <c r="AG160" s="328">
        <f>+AG159+AG153</f>
        <v>349968000</v>
      </c>
    </row>
    <row r="161" spans="2:35" ht="45.75" customHeight="1" x14ac:dyDescent="0.25">
      <c r="B161" s="1227" t="s">
        <v>222</v>
      </c>
      <c r="C161" s="1233">
        <v>0</v>
      </c>
      <c r="D161" s="1219" t="s">
        <v>221</v>
      </c>
      <c r="E161" s="1205" t="s">
        <v>220</v>
      </c>
      <c r="F161" s="1205" t="s">
        <v>219</v>
      </c>
      <c r="G161" s="1174" t="s">
        <v>218</v>
      </c>
      <c r="H161" s="1211" t="s">
        <v>217</v>
      </c>
      <c r="I161" s="95" t="s">
        <v>28</v>
      </c>
      <c r="J161" s="95">
        <v>211</v>
      </c>
      <c r="K161" s="264" t="s">
        <v>216</v>
      </c>
      <c r="L161" s="110" t="s">
        <v>35</v>
      </c>
      <c r="M161" s="305">
        <v>5</v>
      </c>
      <c r="N161" s="305" t="s">
        <v>55</v>
      </c>
      <c r="O161" s="321">
        <v>100000000</v>
      </c>
      <c r="P161" s="309"/>
      <c r="Q161" s="308">
        <f>+O161+P161</f>
        <v>100000000</v>
      </c>
      <c r="R161" s="320"/>
      <c r="S161" s="308"/>
      <c r="T161" s="308"/>
      <c r="U161" s="308"/>
      <c r="V161" s="307"/>
      <c r="W161" s="299">
        <f>+O161+R161</f>
        <v>100000000</v>
      </c>
      <c r="X161" s="137">
        <v>100000000</v>
      </c>
      <c r="Y161" s="136"/>
      <c r="Z161" s="88">
        <f t="shared" si="31"/>
        <v>100000000</v>
      </c>
      <c r="AA161" s="87">
        <v>41431</v>
      </c>
      <c r="AB161" s="50">
        <v>56</v>
      </c>
      <c r="AC161" s="86" t="s">
        <v>215</v>
      </c>
      <c r="AD161" s="103"/>
      <c r="AE161" s="86"/>
      <c r="AF161" s="50"/>
      <c r="AG161" s="49"/>
      <c r="AH161" s="3">
        <f>+AI161/Z161</f>
        <v>0</v>
      </c>
      <c r="AI161" s="2">
        <v>0</v>
      </c>
    </row>
    <row r="162" spans="2:35" ht="38.25" x14ac:dyDescent="0.25">
      <c r="B162" s="1227"/>
      <c r="C162" s="1233"/>
      <c r="D162" s="1219"/>
      <c r="E162" s="1206"/>
      <c r="F162" s="1206"/>
      <c r="G162" s="1175"/>
      <c r="H162" s="1212"/>
      <c r="I162" s="95"/>
      <c r="J162" s="95"/>
      <c r="K162" s="264" t="s">
        <v>214</v>
      </c>
      <c r="L162" s="305" t="s">
        <v>26</v>
      </c>
      <c r="M162" s="305">
        <v>6</v>
      </c>
      <c r="N162" s="305" t="s">
        <v>55</v>
      </c>
      <c r="O162" s="321">
        <f>100000000-100000000</f>
        <v>0</v>
      </c>
      <c r="P162" s="309"/>
      <c r="Q162" s="308">
        <f>+O162+P162</f>
        <v>0</v>
      </c>
      <c r="R162" s="320"/>
      <c r="S162" s="308"/>
      <c r="T162" s="308"/>
      <c r="U162" s="308"/>
      <c r="V162" s="307"/>
      <c r="W162" s="299">
        <f>+O162+R162</f>
        <v>0</v>
      </c>
      <c r="X162" s="50"/>
      <c r="Y162" s="50"/>
      <c r="Z162" s="88">
        <f t="shared" si="31"/>
        <v>0</v>
      </c>
      <c r="AA162" s="50"/>
      <c r="AB162" s="50"/>
      <c r="AC162" s="50"/>
      <c r="AD162" s="103"/>
      <c r="AE162" s="86"/>
      <c r="AF162" s="50"/>
      <c r="AG162" s="49"/>
    </row>
    <row r="163" spans="2:35" ht="51" x14ac:dyDescent="0.25">
      <c r="B163" s="1227"/>
      <c r="C163" s="1233"/>
      <c r="D163" s="1219"/>
      <c r="E163" s="1206"/>
      <c r="F163" s="1206"/>
      <c r="G163" s="1175"/>
      <c r="H163" s="1212"/>
      <c r="I163" s="95" t="s">
        <v>28</v>
      </c>
      <c r="J163" s="95">
        <v>282</v>
      </c>
      <c r="K163" s="264" t="s">
        <v>213</v>
      </c>
      <c r="L163" s="305" t="s">
        <v>26</v>
      </c>
      <c r="M163" s="305">
        <v>8</v>
      </c>
      <c r="N163" s="305" t="s">
        <v>55</v>
      </c>
      <c r="O163" s="321">
        <v>51876000</v>
      </c>
      <c r="P163" s="309"/>
      <c r="Q163" s="308"/>
      <c r="R163" s="320"/>
      <c r="S163" s="308"/>
      <c r="T163" s="308"/>
      <c r="U163" s="308"/>
      <c r="V163" s="307"/>
      <c r="W163" s="299">
        <f>+O163+R163</f>
        <v>51876000</v>
      </c>
      <c r="X163" s="327">
        <v>51876000</v>
      </c>
      <c r="Y163" s="50"/>
      <c r="Z163" s="88">
        <f t="shared" si="31"/>
        <v>51876000</v>
      </c>
      <c r="AA163" s="87">
        <v>41486</v>
      </c>
      <c r="AB163" s="50">
        <v>72</v>
      </c>
      <c r="AC163" s="86" t="s">
        <v>212</v>
      </c>
      <c r="AD163" s="103"/>
      <c r="AE163" s="86"/>
      <c r="AF163" s="50"/>
      <c r="AG163" s="49"/>
      <c r="AH163" s="3">
        <f>+AI163/Z163</f>
        <v>0.65</v>
      </c>
      <c r="AI163" s="2">
        <v>33719400</v>
      </c>
    </row>
    <row r="164" spans="2:35" ht="38.25" x14ac:dyDescent="0.25">
      <c r="B164" s="1227"/>
      <c r="C164" s="1233"/>
      <c r="D164" s="1219"/>
      <c r="E164" s="1206"/>
      <c r="F164" s="1206"/>
      <c r="G164" s="1175"/>
      <c r="H164" s="1212"/>
      <c r="I164" s="95" t="s">
        <v>28</v>
      </c>
      <c r="J164" s="95">
        <v>283</v>
      </c>
      <c r="K164" s="264" t="s">
        <v>211</v>
      </c>
      <c r="L164" s="305" t="s">
        <v>26</v>
      </c>
      <c r="M164" s="305">
        <v>7</v>
      </c>
      <c r="N164" s="305" t="s">
        <v>55</v>
      </c>
      <c r="O164" s="321">
        <v>37138500</v>
      </c>
      <c r="P164" s="309"/>
      <c r="Q164" s="308"/>
      <c r="R164" s="320"/>
      <c r="S164" s="308"/>
      <c r="T164" s="308"/>
      <c r="U164" s="308"/>
      <c r="V164" s="307"/>
      <c r="W164" s="299">
        <f>+O164+R164</f>
        <v>37138500</v>
      </c>
      <c r="X164" s="137">
        <v>37138500</v>
      </c>
      <c r="Y164" s="136"/>
      <c r="Z164" s="88">
        <f t="shared" si="31"/>
        <v>37138500</v>
      </c>
      <c r="AA164" s="87">
        <v>41488</v>
      </c>
      <c r="AB164" s="50">
        <v>75</v>
      </c>
      <c r="AC164" s="50" t="s">
        <v>210</v>
      </c>
      <c r="AD164" s="103"/>
      <c r="AE164" s="86"/>
      <c r="AF164" s="50"/>
      <c r="AG164" s="49"/>
      <c r="AH164" s="3">
        <f>+AI164/Z164</f>
        <v>0.65</v>
      </c>
      <c r="AI164" s="2">
        <v>24140025</v>
      </c>
    </row>
    <row r="165" spans="2:35" ht="63.75" x14ac:dyDescent="0.25">
      <c r="B165" s="1227"/>
      <c r="C165" s="1233"/>
      <c r="D165" s="1219"/>
      <c r="E165" s="1206"/>
      <c r="F165" s="1206"/>
      <c r="G165" s="1175"/>
      <c r="H165" s="1212"/>
      <c r="I165" s="95"/>
      <c r="J165" s="95"/>
      <c r="K165" s="264" t="s">
        <v>209</v>
      </c>
      <c r="L165" s="305" t="s">
        <v>150</v>
      </c>
      <c r="M165" s="305">
        <v>8</v>
      </c>
      <c r="N165" s="305" t="s">
        <v>208</v>
      </c>
      <c r="O165" s="321">
        <f>279501000-18864000-260637000</f>
        <v>0</v>
      </c>
      <c r="P165" s="309"/>
      <c r="Q165" s="308">
        <f>+O165+P165</f>
        <v>0</v>
      </c>
      <c r="R165" s="320"/>
      <c r="S165" s="308"/>
      <c r="T165" s="308"/>
      <c r="U165" s="308"/>
      <c r="V165" s="307"/>
      <c r="W165" s="299">
        <f>+Q165+V165</f>
        <v>0</v>
      </c>
      <c r="X165" s="137"/>
      <c r="Y165" s="136"/>
      <c r="Z165" s="88">
        <f t="shared" si="31"/>
        <v>0</v>
      </c>
      <c r="AA165" s="50"/>
      <c r="AB165" s="50"/>
      <c r="AC165" s="50"/>
      <c r="AD165" s="103"/>
      <c r="AE165" s="86"/>
      <c r="AF165" s="50"/>
      <c r="AG165" s="49"/>
    </row>
    <row r="166" spans="2:35" ht="52.5" customHeight="1" x14ac:dyDescent="0.25">
      <c r="B166" s="1227"/>
      <c r="C166" s="1233"/>
      <c r="D166" s="1219"/>
      <c r="E166" s="1206"/>
      <c r="F166" s="1206"/>
      <c r="G166" s="1175"/>
      <c r="H166" s="1212"/>
      <c r="I166" s="95"/>
      <c r="J166" s="95"/>
      <c r="K166" s="264" t="s">
        <v>207</v>
      </c>
      <c r="L166" s="305" t="s">
        <v>26</v>
      </c>
      <c r="M166" s="305">
        <v>4</v>
      </c>
      <c r="N166" s="305" t="s">
        <v>55</v>
      </c>
      <c r="O166" s="321">
        <f>120000000-120000000</f>
        <v>0</v>
      </c>
      <c r="P166" s="309"/>
      <c r="Q166" s="308">
        <f>+O166+P166</f>
        <v>0</v>
      </c>
      <c r="R166" s="320"/>
      <c r="S166" s="308"/>
      <c r="T166" s="308"/>
      <c r="U166" s="308"/>
      <c r="V166" s="307"/>
      <c r="W166" s="299">
        <f t="shared" ref="W166:W175" si="35">+O166+R166</f>
        <v>0</v>
      </c>
      <c r="X166" s="137"/>
      <c r="Y166" s="136"/>
      <c r="Z166" s="88">
        <f t="shared" si="31"/>
        <v>0</v>
      </c>
      <c r="AA166" s="50"/>
      <c r="AB166" s="50"/>
      <c r="AC166" s="50"/>
      <c r="AD166" s="103"/>
      <c r="AE166" s="86"/>
      <c r="AF166" s="50"/>
      <c r="AG166" s="49"/>
    </row>
    <row r="167" spans="2:35" ht="55.5" customHeight="1" x14ac:dyDescent="0.25">
      <c r="B167" s="1227"/>
      <c r="C167" s="1233"/>
      <c r="D167" s="1219"/>
      <c r="E167" s="1206"/>
      <c r="F167" s="1206"/>
      <c r="G167" s="1175"/>
      <c r="H167" s="1212"/>
      <c r="I167" s="95" t="s">
        <v>28</v>
      </c>
      <c r="J167" s="95">
        <v>333</v>
      </c>
      <c r="K167" s="264" t="s">
        <v>206</v>
      </c>
      <c r="L167" s="305" t="s">
        <v>39</v>
      </c>
      <c r="M167" s="305">
        <v>10</v>
      </c>
      <c r="N167" s="305" t="s">
        <v>55</v>
      </c>
      <c r="O167" s="326">
        <v>130300000</v>
      </c>
      <c r="P167" s="309"/>
      <c r="Q167" s="308"/>
      <c r="R167" s="320"/>
      <c r="S167" s="308"/>
      <c r="T167" s="308"/>
      <c r="U167" s="308"/>
      <c r="V167" s="307"/>
      <c r="W167" s="299">
        <f t="shared" si="35"/>
        <v>130300000</v>
      </c>
      <c r="X167" s="137">
        <v>130300000</v>
      </c>
      <c r="Y167" s="136"/>
      <c r="Z167" s="88">
        <f t="shared" si="31"/>
        <v>130300000</v>
      </c>
      <c r="AA167" s="87">
        <v>41533</v>
      </c>
      <c r="AB167" s="50">
        <v>104</v>
      </c>
      <c r="AC167" s="50" t="s">
        <v>205</v>
      </c>
      <c r="AD167" s="103"/>
      <c r="AE167" s="86"/>
      <c r="AF167" s="50"/>
      <c r="AG167" s="49"/>
      <c r="AH167" s="3">
        <f>+AI167/Z167</f>
        <v>0.8</v>
      </c>
      <c r="AI167" s="2">
        <v>104240000</v>
      </c>
    </row>
    <row r="168" spans="2:35" ht="63.75" customHeight="1" x14ac:dyDescent="0.25">
      <c r="B168" s="1227"/>
      <c r="C168" s="1233"/>
      <c r="D168" s="1219"/>
      <c r="E168" s="1206"/>
      <c r="F168" s="1206"/>
      <c r="G168" s="1175"/>
      <c r="H168" s="1212"/>
      <c r="I168" s="95" t="s">
        <v>41</v>
      </c>
      <c r="J168" s="95">
        <v>317</v>
      </c>
      <c r="K168" s="264" t="s">
        <v>204</v>
      </c>
      <c r="L168" s="305" t="s">
        <v>39</v>
      </c>
      <c r="M168" s="305">
        <v>10</v>
      </c>
      <c r="N168" s="305" t="s">
        <v>167</v>
      </c>
      <c r="O168" s="326">
        <v>130337000</v>
      </c>
      <c r="P168" s="309"/>
      <c r="Q168" s="308"/>
      <c r="R168" s="320"/>
      <c r="S168" s="308"/>
      <c r="T168" s="308"/>
      <c r="U168" s="308"/>
      <c r="V168" s="307"/>
      <c r="W168" s="299">
        <f t="shared" si="35"/>
        <v>130337000</v>
      </c>
      <c r="X168" s="137">
        <v>130337000</v>
      </c>
      <c r="Y168" s="136"/>
      <c r="Z168" s="88">
        <f t="shared" si="31"/>
        <v>130337000</v>
      </c>
      <c r="AA168" s="87">
        <v>41554</v>
      </c>
      <c r="AB168" s="50">
        <v>115</v>
      </c>
      <c r="AC168" s="50" t="s">
        <v>166</v>
      </c>
      <c r="AD168" s="103"/>
      <c r="AE168" s="86"/>
      <c r="AF168" s="50"/>
      <c r="AG168" s="49"/>
      <c r="AH168" s="3">
        <f>+AI168/Z168</f>
        <v>0</v>
      </c>
      <c r="AI168" s="2">
        <v>0</v>
      </c>
    </row>
    <row r="169" spans="2:35" ht="36" customHeight="1" x14ac:dyDescent="0.25">
      <c r="B169" s="1227"/>
      <c r="C169" s="1233"/>
      <c r="D169" s="1219"/>
      <c r="E169" s="1206"/>
      <c r="F169" s="1206"/>
      <c r="G169" s="1175"/>
      <c r="H169" s="1212"/>
      <c r="I169" s="95" t="s">
        <v>28</v>
      </c>
      <c r="J169" s="95">
        <v>284</v>
      </c>
      <c r="K169" s="96" t="s">
        <v>203</v>
      </c>
      <c r="L169" s="305" t="s">
        <v>26</v>
      </c>
      <c r="M169" s="305">
        <v>5</v>
      </c>
      <c r="N169" s="305" t="s">
        <v>55</v>
      </c>
      <c r="O169" s="322">
        <v>17685000</v>
      </c>
      <c r="P169" s="309"/>
      <c r="Q169" s="308"/>
      <c r="R169" s="320"/>
      <c r="S169" s="308"/>
      <c r="T169" s="308"/>
      <c r="U169" s="308"/>
      <c r="V169" s="307"/>
      <c r="W169" s="299">
        <f t="shared" si="35"/>
        <v>17685000</v>
      </c>
      <c r="X169" s="137">
        <v>17685000</v>
      </c>
      <c r="Y169" s="136"/>
      <c r="Z169" s="88">
        <f t="shared" si="31"/>
        <v>17685000</v>
      </c>
      <c r="AA169" s="87">
        <v>41494</v>
      </c>
      <c r="AB169" s="50">
        <v>77</v>
      </c>
      <c r="AC169" s="50" t="s">
        <v>202</v>
      </c>
      <c r="AD169" s="103"/>
      <c r="AE169" s="86"/>
      <c r="AF169" s="50"/>
      <c r="AG169" s="49"/>
      <c r="AH169" s="3">
        <f>+AI169/Z169</f>
        <v>0.3</v>
      </c>
      <c r="AI169" s="2">
        <v>5305500</v>
      </c>
    </row>
    <row r="170" spans="2:35" ht="46.5" customHeight="1" x14ac:dyDescent="0.25">
      <c r="B170" s="1227"/>
      <c r="C170" s="1233"/>
      <c r="D170" s="1219"/>
      <c r="E170" s="1206"/>
      <c r="F170" s="1206"/>
      <c r="G170" s="1175"/>
      <c r="H170" s="1212"/>
      <c r="I170" s="95"/>
      <c r="J170" s="95">
        <v>285</v>
      </c>
      <c r="K170" s="96" t="s">
        <v>177</v>
      </c>
      <c r="L170" s="305" t="s">
        <v>150</v>
      </c>
      <c r="M170" s="305">
        <v>5</v>
      </c>
      <c r="N170" s="305" t="s">
        <v>55</v>
      </c>
      <c r="O170" s="322">
        <v>5895000</v>
      </c>
      <c r="P170" s="309"/>
      <c r="Q170" s="308"/>
      <c r="R170" s="320"/>
      <c r="S170" s="308"/>
      <c r="T170" s="308"/>
      <c r="U170" s="308"/>
      <c r="V170" s="307"/>
      <c r="W170" s="299">
        <f t="shared" si="35"/>
        <v>5895000</v>
      </c>
      <c r="X170" s="137">
        <v>5895000</v>
      </c>
      <c r="Y170" s="136"/>
      <c r="Z170" s="88">
        <f t="shared" si="31"/>
        <v>5895000</v>
      </c>
      <c r="AA170" s="87">
        <v>41534</v>
      </c>
      <c r="AB170" s="50">
        <v>105</v>
      </c>
      <c r="AC170" s="50" t="s">
        <v>176</v>
      </c>
      <c r="AD170" s="103"/>
      <c r="AE170" s="86"/>
      <c r="AF170" s="50"/>
      <c r="AG170" s="49"/>
      <c r="AH170" s="3">
        <f>+AI170/Z170</f>
        <v>0</v>
      </c>
      <c r="AI170" s="2">
        <v>0</v>
      </c>
    </row>
    <row r="171" spans="2:35" ht="34.5" customHeight="1" x14ac:dyDescent="0.25">
      <c r="B171" s="1227"/>
      <c r="C171" s="1233"/>
      <c r="D171" s="1219"/>
      <c r="E171" s="1206"/>
      <c r="F171" s="1206"/>
      <c r="G171" s="1175"/>
      <c r="H171" s="1212"/>
      <c r="I171" s="95" t="s">
        <v>28</v>
      </c>
      <c r="J171" s="95">
        <v>286</v>
      </c>
      <c r="K171" s="264" t="s">
        <v>201</v>
      </c>
      <c r="L171" s="243" t="s">
        <v>59</v>
      </c>
      <c r="M171" s="242">
        <v>1</v>
      </c>
      <c r="N171" s="242" t="s">
        <v>46</v>
      </c>
      <c r="O171" s="322">
        <v>4000000</v>
      </c>
      <c r="P171" s="309"/>
      <c r="Q171" s="308"/>
      <c r="R171" s="320"/>
      <c r="S171" s="308"/>
      <c r="T171" s="308"/>
      <c r="U171" s="308"/>
      <c r="V171" s="307"/>
      <c r="W171" s="299">
        <f t="shared" si="35"/>
        <v>4000000</v>
      </c>
      <c r="X171" s="137">
        <v>4000000</v>
      </c>
      <c r="Y171" s="136"/>
      <c r="Z171" s="88">
        <f t="shared" si="31"/>
        <v>4000000</v>
      </c>
      <c r="AA171" s="87">
        <v>41556</v>
      </c>
      <c r="AB171" s="50">
        <v>117</v>
      </c>
      <c r="AC171" s="50" t="s">
        <v>200</v>
      </c>
      <c r="AD171" s="103"/>
      <c r="AE171" s="86"/>
      <c r="AF171" s="50"/>
      <c r="AG171" s="49"/>
      <c r="AI171" s="240"/>
    </row>
    <row r="172" spans="2:35" ht="35.25" customHeight="1" x14ac:dyDescent="0.25">
      <c r="B172" s="1227"/>
      <c r="C172" s="1233"/>
      <c r="D172" s="1219"/>
      <c r="E172" s="1206"/>
      <c r="F172" s="1206"/>
      <c r="G172" s="1175"/>
      <c r="H172" s="1212"/>
      <c r="I172" s="95"/>
      <c r="J172" s="95">
        <v>287</v>
      </c>
      <c r="K172" s="167" t="s">
        <v>199</v>
      </c>
      <c r="L172" s="325" t="s">
        <v>39</v>
      </c>
      <c r="M172" s="325">
        <v>10</v>
      </c>
      <c r="N172" s="325" t="s">
        <v>55</v>
      </c>
      <c r="O172" s="324">
        <f>3000000-3000000</f>
        <v>0</v>
      </c>
      <c r="P172" s="309"/>
      <c r="Q172" s="308"/>
      <c r="R172" s="320"/>
      <c r="S172" s="308"/>
      <c r="T172" s="308"/>
      <c r="U172" s="308"/>
      <c r="V172" s="307"/>
      <c r="W172" s="299">
        <f t="shared" si="35"/>
        <v>0</v>
      </c>
      <c r="X172" s="137"/>
      <c r="Y172" s="136"/>
      <c r="Z172" s="88">
        <f t="shared" si="31"/>
        <v>0</v>
      </c>
      <c r="AA172" s="50"/>
      <c r="AB172" s="50"/>
      <c r="AC172" s="50"/>
      <c r="AD172" s="103"/>
      <c r="AE172" s="86"/>
      <c r="AF172" s="50"/>
      <c r="AG172" s="49"/>
    </row>
    <row r="173" spans="2:35" ht="45.75" customHeight="1" x14ac:dyDescent="0.25">
      <c r="B173" s="1227"/>
      <c r="C173" s="1233"/>
      <c r="D173" s="1219"/>
      <c r="E173" s="1206"/>
      <c r="F173" s="1206"/>
      <c r="G173" s="1175"/>
      <c r="H173" s="1212"/>
      <c r="I173" s="95" t="s">
        <v>28</v>
      </c>
      <c r="J173" s="95">
        <v>288</v>
      </c>
      <c r="K173" s="167" t="s">
        <v>198</v>
      </c>
      <c r="L173" s="318" t="s">
        <v>150</v>
      </c>
      <c r="M173" s="318">
        <v>2</v>
      </c>
      <c r="N173" s="318" t="s">
        <v>55</v>
      </c>
      <c r="O173" s="323">
        <f>7074000+7074000</f>
        <v>14148000</v>
      </c>
      <c r="P173" s="316"/>
      <c r="Q173" s="314"/>
      <c r="R173" s="315"/>
      <c r="S173" s="314"/>
      <c r="T173" s="314"/>
      <c r="U173" s="314"/>
      <c r="V173" s="313"/>
      <c r="W173" s="312">
        <f t="shared" si="35"/>
        <v>14148000</v>
      </c>
      <c r="X173" s="137">
        <v>14148000</v>
      </c>
      <c r="Y173" s="136"/>
      <c r="Z173" s="88">
        <f t="shared" si="31"/>
        <v>14148000</v>
      </c>
      <c r="AA173" s="87">
        <v>41605</v>
      </c>
      <c r="AB173" s="50">
        <v>128</v>
      </c>
      <c r="AC173" s="50" t="s">
        <v>197</v>
      </c>
      <c r="AD173" s="103"/>
      <c r="AE173" s="86"/>
      <c r="AF173" s="50"/>
      <c r="AG173" s="49"/>
      <c r="AH173" s="3">
        <f t="shared" ref="AH173:AH182" si="36">+AI173/Z173</f>
        <v>1</v>
      </c>
      <c r="AI173" s="2">
        <v>14148000</v>
      </c>
    </row>
    <row r="174" spans="2:35" ht="27" customHeight="1" x14ac:dyDescent="0.25">
      <c r="B174" s="1227"/>
      <c r="C174" s="1233"/>
      <c r="D174" s="1219"/>
      <c r="E174" s="1206"/>
      <c r="F174" s="1206"/>
      <c r="G174" s="1175"/>
      <c r="H174" s="1212"/>
      <c r="I174" s="95" t="s">
        <v>28</v>
      </c>
      <c r="J174" s="95">
        <v>289</v>
      </c>
      <c r="K174" s="96" t="s">
        <v>196</v>
      </c>
      <c r="L174" s="305" t="s">
        <v>26</v>
      </c>
      <c r="M174" s="305">
        <v>2</v>
      </c>
      <c r="N174" s="305" t="s">
        <v>55</v>
      </c>
      <c r="O174" s="322">
        <v>7074000</v>
      </c>
      <c r="P174" s="309"/>
      <c r="Q174" s="308"/>
      <c r="R174" s="320"/>
      <c r="S174" s="308"/>
      <c r="T174" s="308"/>
      <c r="U174" s="308"/>
      <c r="V174" s="307"/>
      <c r="W174" s="299">
        <f t="shared" si="35"/>
        <v>7074000</v>
      </c>
      <c r="X174" s="137">
        <v>7074000</v>
      </c>
      <c r="Y174" s="136"/>
      <c r="Z174" s="88">
        <f t="shared" si="31"/>
        <v>7074000</v>
      </c>
      <c r="AA174" s="87">
        <v>41488</v>
      </c>
      <c r="AB174" s="50">
        <v>73</v>
      </c>
      <c r="AC174" s="50" t="s">
        <v>195</v>
      </c>
      <c r="AD174" s="103"/>
      <c r="AE174" s="86"/>
      <c r="AF174" s="50"/>
      <c r="AG174" s="49"/>
      <c r="AH174" s="3">
        <f t="shared" si="36"/>
        <v>0</v>
      </c>
      <c r="AI174" s="2">
        <v>0</v>
      </c>
    </row>
    <row r="175" spans="2:35" ht="45" customHeight="1" x14ac:dyDescent="0.25">
      <c r="B175" s="1227"/>
      <c r="C175" s="1233"/>
      <c r="D175" s="1219"/>
      <c r="E175" s="1206"/>
      <c r="F175" s="1206"/>
      <c r="G175" s="1175"/>
      <c r="H175" s="1212"/>
      <c r="I175" s="95" t="s">
        <v>28</v>
      </c>
      <c r="J175" s="95">
        <v>319</v>
      </c>
      <c r="K175" s="96" t="s">
        <v>173</v>
      </c>
      <c r="L175" s="305" t="s">
        <v>150</v>
      </c>
      <c r="M175" s="305">
        <v>10</v>
      </c>
      <c r="N175" s="305" t="s">
        <v>55</v>
      </c>
      <c r="O175" s="322">
        <v>86257500</v>
      </c>
      <c r="P175" s="309"/>
      <c r="Q175" s="308"/>
      <c r="R175" s="320"/>
      <c r="S175" s="308"/>
      <c r="T175" s="308"/>
      <c r="U175" s="308"/>
      <c r="V175" s="307"/>
      <c r="W175" s="299">
        <f t="shared" si="35"/>
        <v>86257500</v>
      </c>
      <c r="X175" s="137">
        <v>86257500</v>
      </c>
      <c r="Y175" s="136"/>
      <c r="Z175" s="88">
        <f t="shared" si="31"/>
        <v>86257500</v>
      </c>
      <c r="AA175" s="87">
        <v>41572</v>
      </c>
      <c r="AB175" s="50">
        <v>120</v>
      </c>
      <c r="AC175" s="50" t="s">
        <v>171</v>
      </c>
      <c r="AD175" s="103"/>
      <c r="AE175" s="86"/>
      <c r="AF175" s="50"/>
      <c r="AG175" s="49"/>
      <c r="AH175" s="3">
        <f t="shared" si="36"/>
        <v>0</v>
      </c>
      <c r="AI175" s="271"/>
    </row>
    <row r="176" spans="2:35" ht="47.25" customHeight="1" x14ac:dyDescent="0.25">
      <c r="B176" s="1227"/>
      <c r="C176" s="1233"/>
      <c r="D176" s="1219"/>
      <c r="E176" s="1206"/>
      <c r="F176" s="1206"/>
      <c r="G176" s="1175"/>
      <c r="H176" s="1212"/>
      <c r="I176" s="95" t="s">
        <v>28</v>
      </c>
      <c r="J176" s="95">
        <v>163</v>
      </c>
      <c r="K176" s="244" t="s">
        <v>194</v>
      </c>
      <c r="L176" s="305" t="s">
        <v>121</v>
      </c>
      <c r="M176" s="305">
        <v>9</v>
      </c>
      <c r="N176" s="305" t="s">
        <v>55</v>
      </c>
      <c r="O176" s="321">
        <v>31833000</v>
      </c>
      <c r="P176" s="309"/>
      <c r="Q176" s="308">
        <f>+O176+P176</f>
        <v>31833000</v>
      </c>
      <c r="R176" s="320"/>
      <c r="S176" s="308"/>
      <c r="T176" s="308"/>
      <c r="U176" s="308"/>
      <c r="V176" s="307"/>
      <c r="W176" s="299">
        <f>+Q176+V176</f>
        <v>31833000</v>
      </c>
      <c r="X176" s="137">
        <v>31833000</v>
      </c>
      <c r="Y176" s="136"/>
      <c r="Z176" s="88">
        <f t="shared" si="31"/>
        <v>31833000</v>
      </c>
      <c r="AA176" s="87">
        <v>41338</v>
      </c>
      <c r="AB176" s="50">
        <v>14</v>
      </c>
      <c r="AC176" s="50" t="s">
        <v>193</v>
      </c>
      <c r="AD176" s="103"/>
      <c r="AE176" s="86"/>
      <c r="AF176" s="50"/>
      <c r="AG176" s="49"/>
      <c r="AH176" s="3">
        <f t="shared" si="36"/>
        <v>0</v>
      </c>
      <c r="AI176" s="2">
        <v>0</v>
      </c>
    </row>
    <row r="177" spans="2:35" ht="38.25" customHeight="1" x14ac:dyDescent="0.25">
      <c r="B177" s="1227"/>
      <c r="C177" s="1233"/>
      <c r="D177" s="1219"/>
      <c r="E177" s="1206"/>
      <c r="F177" s="1206"/>
      <c r="G177" s="1175"/>
      <c r="H177" s="1212"/>
      <c r="I177" s="95" t="s">
        <v>28</v>
      </c>
      <c r="J177" s="95">
        <v>164</v>
      </c>
      <c r="K177" s="244" t="s">
        <v>192</v>
      </c>
      <c r="L177" s="305" t="s">
        <v>121</v>
      </c>
      <c r="M177" s="305">
        <v>10</v>
      </c>
      <c r="N177" s="305" t="s">
        <v>55</v>
      </c>
      <c r="O177" s="321">
        <f>63666000+18864000</f>
        <v>82530000</v>
      </c>
      <c r="P177" s="309"/>
      <c r="Q177" s="308">
        <f>+O177+P177</f>
        <v>82530000</v>
      </c>
      <c r="R177" s="320"/>
      <c r="S177" s="308"/>
      <c r="T177" s="308"/>
      <c r="U177" s="308"/>
      <c r="V177" s="307"/>
      <c r="W177" s="299">
        <f>+Q177+V177</f>
        <v>82530000</v>
      </c>
      <c r="X177" s="137">
        <v>82530000</v>
      </c>
      <c r="Y177" s="136"/>
      <c r="Z177" s="88">
        <f t="shared" si="31"/>
        <v>82530000</v>
      </c>
      <c r="AA177" s="87">
        <v>41354</v>
      </c>
      <c r="AB177" s="50">
        <v>31</v>
      </c>
      <c r="AC177" s="50" t="s">
        <v>191</v>
      </c>
      <c r="AD177" s="103"/>
      <c r="AE177" s="86"/>
      <c r="AF177" s="50"/>
      <c r="AG177" s="49"/>
      <c r="AH177" s="3">
        <f t="shared" si="36"/>
        <v>0.25</v>
      </c>
      <c r="AI177" s="319">
        <v>20632500</v>
      </c>
    </row>
    <row r="178" spans="2:35" ht="25.5" customHeight="1" x14ac:dyDescent="0.25">
      <c r="B178" s="1227"/>
      <c r="C178" s="1233"/>
      <c r="D178" s="1219"/>
      <c r="E178" s="1206"/>
      <c r="F178" s="1206"/>
      <c r="G178" s="1175"/>
      <c r="H178" s="1212"/>
      <c r="I178" s="95"/>
      <c r="J178" s="95"/>
      <c r="K178" s="176" t="s">
        <v>190</v>
      </c>
      <c r="L178" s="318"/>
      <c r="M178" s="318"/>
      <c r="N178" s="318"/>
      <c r="O178" s="317">
        <f>8253000-7074000</f>
        <v>1179000</v>
      </c>
      <c r="P178" s="316"/>
      <c r="Q178" s="314"/>
      <c r="R178" s="315"/>
      <c r="S178" s="314"/>
      <c r="T178" s="314"/>
      <c r="U178" s="314"/>
      <c r="V178" s="313"/>
      <c r="W178" s="312">
        <f>+O178+R178</f>
        <v>1179000</v>
      </c>
      <c r="X178" s="137">
        <v>1179000</v>
      </c>
      <c r="Y178" s="136"/>
      <c r="Z178" s="88">
        <f t="shared" si="31"/>
        <v>1179000</v>
      </c>
      <c r="AA178" s="87"/>
      <c r="AB178" s="50">
        <v>31</v>
      </c>
      <c r="AC178" s="50"/>
      <c r="AD178" s="103"/>
      <c r="AE178" s="86"/>
      <c r="AF178" s="50"/>
      <c r="AG178" s="49"/>
      <c r="AH178" s="3">
        <f t="shared" si="36"/>
        <v>0</v>
      </c>
      <c r="AI178" s="311"/>
    </row>
    <row r="179" spans="2:35" ht="35.25" customHeight="1" x14ac:dyDescent="0.25">
      <c r="B179" s="1227"/>
      <c r="C179" s="1233"/>
      <c r="D179" s="1219"/>
      <c r="E179" s="1206"/>
      <c r="F179" s="1206"/>
      <c r="G179" s="1175"/>
      <c r="H179" s="1212"/>
      <c r="I179" s="95" t="s">
        <v>28</v>
      </c>
      <c r="J179" s="95">
        <v>165</v>
      </c>
      <c r="K179" s="306" t="s">
        <v>189</v>
      </c>
      <c r="L179" s="110" t="s">
        <v>35</v>
      </c>
      <c r="M179" s="305">
        <v>3</v>
      </c>
      <c r="N179" s="305" t="s">
        <v>55</v>
      </c>
      <c r="O179" s="310">
        <v>55000000</v>
      </c>
      <c r="P179" s="309"/>
      <c r="Q179" s="308">
        <f>+O179+P179</f>
        <v>55000000</v>
      </c>
      <c r="R179" s="302"/>
      <c r="S179" s="308"/>
      <c r="T179" s="308"/>
      <c r="U179" s="308"/>
      <c r="V179" s="307"/>
      <c r="W179" s="299">
        <f>+Q179+V179</f>
        <v>55000000</v>
      </c>
      <c r="X179" s="137">
        <v>55000000</v>
      </c>
      <c r="Y179" s="136"/>
      <c r="Z179" s="88">
        <f t="shared" si="31"/>
        <v>55000000</v>
      </c>
      <c r="AA179" s="87">
        <v>41439</v>
      </c>
      <c r="AB179" s="50">
        <v>59</v>
      </c>
      <c r="AC179" s="86" t="s">
        <v>186</v>
      </c>
      <c r="AD179" s="103"/>
      <c r="AE179" s="86"/>
      <c r="AF179" s="50"/>
      <c r="AG179" s="49"/>
      <c r="AH179" s="3">
        <f t="shared" si="36"/>
        <v>0</v>
      </c>
      <c r="AI179" s="2">
        <v>0</v>
      </c>
    </row>
    <row r="180" spans="2:35" ht="24" customHeight="1" x14ac:dyDescent="0.25">
      <c r="B180" s="1227"/>
      <c r="C180" s="1233"/>
      <c r="D180" s="1219"/>
      <c r="E180" s="1206"/>
      <c r="F180" s="1206"/>
      <c r="G180" s="1176"/>
      <c r="H180" s="1213"/>
      <c r="I180" s="95"/>
      <c r="J180" s="95"/>
      <c r="K180" s="306" t="s">
        <v>188</v>
      </c>
      <c r="L180" s="110"/>
      <c r="M180" s="305"/>
      <c r="N180" s="305"/>
      <c r="O180" s="304">
        <v>27500000</v>
      </c>
      <c r="P180" s="303"/>
      <c r="Q180" s="301"/>
      <c r="R180" s="302"/>
      <c r="S180" s="301"/>
      <c r="T180" s="301"/>
      <c r="U180" s="301"/>
      <c r="V180" s="300"/>
      <c r="W180" s="299">
        <f>+O180+R180</f>
        <v>27500000</v>
      </c>
      <c r="X180" s="137">
        <v>27500000</v>
      </c>
      <c r="Y180" s="137"/>
      <c r="Z180" s="88">
        <f t="shared" si="31"/>
        <v>27500000</v>
      </c>
      <c r="AA180" s="87" t="s">
        <v>187</v>
      </c>
      <c r="AB180" s="50">
        <v>59</v>
      </c>
      <c r="AC180" s="86" t="s">
        <v>186</v>
      </c>
      <c r="AD180" s="103"/>
      <c r="AE180" s="86"/>
      <c r="AF180" s="50"/>
      <c r="AG180" s="49"/>
      <c r="AH180" s="3">
        <f t="shared" si="36"/>
        <v>1</v>
      </c>
      <c r="AI180" s="2">
        <v>27500000</v>
      </c>
    </row>
    <row r="181" spans="2:35" ht="26.25" customHeight="1" x14ac:dyDescent="0.25">
      <c r="B181" s="1227"/>
      <c r="C181" s="1233"/>
      <c r="D181" s="1219"/>
      <c r="E181" s="1206"/>
      <c r="F181" s="1206"/>
      <c r="G181" s="1188" t="s">
        <v>23</v>
      </c>
      <c r="H181" s="1188"/>
      <c r="I181" s="1188"/>
      <c r="J181" s="1188"/>
      <c r="K181" s="1188"/>
      <c r="L181" s="102"/>
      <c r="M181" s="102"/>
      <c r="N181" s="102"/>
      <c r="O181" s="298">
        <f>SUM(O161:O180)</f>
        <v>782753000</v>
      </c>
      <c r="P181" s="298">
        <f t="shared" ref="P181:V181" si="37">SUM(P161:P179)</f>
        <v>0</v>
      </c>
      <c r="Q181" s="298">
        <f t="shared" si="37"/>
        <v>269363000</v>
      </c>
      <c r="R181" s="144">
        <f t="shared" si="37"/>
        <v>0</v>
      </c>
      <c r="S181" s="298">
        <f t="shared" si="37"/>
        <v>0</v>
      </c>
      <c r="T181" s="298">
        <f t="shared" si="37"/>
        <v>0</v>
      </c>
      <c r="U181" s="298">
        <f t="shared" si="37"/>
        <v>0</v>
      </c>
      <c r="V181" s="298">
        <f t="shared" si="37"/>
        <v>0</v>
      </c>
      <c r="W181" s="278">
        <f>SUM(W161:W180)</f>
        <v>782753000</v>
      </c>
      <c r="X181" s="297">
        <f>SUM(X161:X180)</f>
        <v>782753000</v>
      </c>
      <c r="Y181" s="297">
        <f>SUM(Y161:Y180)</f>
        <v>0</v>
      </c>
      <c r="Z181" s="88">
        <f t="shared" si="31"/>
        <v>782753000</v>
      </c>
      <c r="AA181" s="78"/>
      <c r="AB181" s="78"/>
      <c r="AC181" s="78"/>
      <c r="AD181" s="79">
        <f>+Z181/W181</f>
        <v>1</v>
      </c>
      <c r="AE181" s="78"/>
      <c r="AF181" s="78">
        <f>SUM(AF161:AF179)</f>
        <v>0</v>
      </c>
      <c r="AG181" s="226">
        <f>SUM(AG161:AG179)</f>
        <v>0</v>
      </c>
      <c r="AH181" s="3">
        <f t="shared" si="36"/>
        <v>0</v>
      </c>
    </row>
    <row r="182" spans="2:35" ht="25.5" customHeight="1" x14ac:dyDescent="0.25">
      <c r="B182" s="1227"/>
      <c r="C182" s="1233"/>
      <c r="D182" s="1219"/>
      <c r="E182" s="1207"/>
      <c r="F182" s="1207"/>
      <c r="G182" s="1242" t="s">
        <v>185</v>
      </c>
      <c r="H182" s="1243"/>
      <c r="I182" s="1243"/>
      <c r="J182" s="1243"/>
      <c r="K182" s="1243"/>
      <c r="L182" s="1243"/>
      <c r="M182" s="1243"/>
      <c r="N182" s="1244"/>
      <c r="O182" s="74">
        <f t="shared" ref="O182:Y182" si="38">+O181</f>
        <v>782753000</v>
      </c>
      <c r="P182" s="74">
        <f t="shared" si="38"/>
        <v>0</v>
      </c>
      <c r="Q182" s="74">
        <f t="shared" si="38"/>
        <v>269363000</v>
      </c>
      <c r="R182" s="74">
        <f t="shared" si="38"/>
        <v>0</v>
      </c>
      <c r="S182" s="74">
        <f t="shared" si="38"/>
        <v>0</v>
      </c>
      <c r="T182" s="74">
        <f t="shared" si="38"/>
        <v>0</v>
      </c>
      <c r="U182" s="74">
        <f t="shared" si="38"/>
        <v>0</v>
      </c>
      <c r="V182" s="74">
        <f t="shared" si="38"/>
        <v>0</v>
      </c>
      <c r="W182" s="74">
        <f t="shared" si="38"/>
        <v>782753000</v>
      </c>
      <c r="X182" s="296">
        <f t="shared" si="38"/>
        <v>782753000</v>
      </c>
      <c r="Y182" s="296">
        <f t="shared" si="38"/>
        <v>0</v>
      </c>
      <c r="Z182" s="88">
        <f t="shared" si="31"/>
        <v>782753000</v>
      </c>
      <c r="AA182" s="71"/>
      <c r="AB182" s="71"/>
      <c r="AC182" s="71"/>
      <c r="AD182" s="70">
        <f>+Z182/W182</f>
        <v>1</v>
      </c>
      <c r="AE182" s="71"/>
      <c r="AF182" s="71">
        <f>+AF181</f>
        <v>0</v>
      </c>
      <c r="AG182" s="256">
        <f>+AG181</f>
        <v>0</v>
      </c>
      <c r="AH182" s="3">
        <f t="shared" si="36"/>
        <v>0</v>
      </c>
    </row>
    <row r="183" spans="2:35" ht="66" customHeight="1" x14ac:dyDescent="0.25">
      <c r="B183" s="1217" t="str">
        <f>+B161</f>
        <v>PROYECTO NO. 702 Investigación e innovación para la construcción de conocimiento educativo y pedagógico.</v>
      </c>
      <c r="C183" s="1217">
        <f>+C161</f>
        <v>0</v>
      </c>
      <c r="D183" s="1206" t="s">
        <v>184</v>
      </c>
      <c r="E183" s="1234" t="s">
        <v>183</v>
      </c>
      <c r="F183" s="1205" t="s">
        <v>182</v>
      </c>
      <c r="G183" s="1238" t="s">
        <v>181</v>
      </c>
      <c r="H183" s="1237" t="s">
        <v>156</v>
      </c>
      <c r="I183" s="295"/>
      <c r="J183" s="95">
        <v>166</v>
      </c>
      <c r="K183" s="294" t="s">
        <v>180</v>
      </c>
      <c r="L183" s="121" t="s">
        <v>35</v>
      </c>
      <c r="M183" s="121">
        <v>9</v>
      </c>
      <c r="N183" s="121" t="s">
        <v>55</v>
      </c>
      <c r="O183" s="293">
        <f>434000-434000</f>
        <v>0</v>
      </c>
      <c r="P183" s="288"/>
      <c r="Q183" s="288">
        <f>+O183+P183</f>
        <v>0</v>
      </c>
      <c r="R183" s="293">
        <f>13566000-11647333</f>
        <v>1918667</v>
      </c>
      <c r="S183" s="283"/>
      <c r="T183" s="283"/>
      <c r="U183" s="283"/>
      <c r="V183" s="282">
        <f>+R183+U183</f>
        <v>1918667</v>
      </c>
      <c r="W183" s="109">
        <f>+Q183+V183</f>
        <v>1918667</v>
      </c>
      <c r="X183" s="93"/>
      <c r="Y183" s="107">
        <f>+R183</f>
        <v>1918667</v>
      </c>
      <c r="Z183" s="88">
        <f t="shared" si="31"/>
        <v>1918667</v>
      </c>
      <c r="AA183" s="50"/>
      <c r="AB183" s="50"/>
      <c r="AC183" s="50"/>
      <c r="AD183" s="103"/>
      <c r="AE183" s="86" t="s">
        <v>179</v>
      </c>
      <c r="AF183" s="107"/>
      <c r="AG183" s="49"/>
    </row>
    <row r="184" spans="2:35" ht="66" customHeight="1" x14ac:dyDescent="0.25">
      <c r="B184" s="1217"/>
      <c r="C184" s="1217"/>
      <c r="D184" s="1206"/>
      <c r="E184" s="1235"/>
      <c r="F184" s="1206"/>
      <c r="G184" s="1238"/>
      <c r="H184" s="1237"/>
      <c r="I184" s="95"/>
      <c r="J184" s="95">
        <v>105</v>
      </c>
      <c r="K184" s="292" t="s">
        <v>178</v>
      </c>
      <c r="L184" s="95" t="s">
        <v>35</v>
      </c>
      <c r="M184" s="95">
        <v>9</v>
      </c>
      <c r="N184" s="95" t="s">
        <v>55</v>
      </c>
      <c r="O184" s="281">
        <f>55459600-55459600</f>
        <v>0</v>
      </c>
      <c r="P184" s="94"/>
      <c r="Q184" s="280">
        <f>+O184+P184</f>
        <v>0</v>
      </c>
      <c r="R184" s="94"/>
      <c r="S184" s="283"/>
      <c r="T184" s="283"/>
      <c r="U184" s="283"/>
      <c r="V184" s="283">
        <f>+R184+U184</f>
        <v>0</v>
      </c>
      <c r="W184" s="91">
        <f>+Q184+V184</f>
        <v>0</v>
      </c>
      <c r="X184" s="93"/>
      <c r="Y184" s="50"/>
      <c r="Z184" s="88">
        <f t="shared" si="31"/>
        <v>0</v>
      </c>
      <c r="AA184" s="50"/>
      <c r="AB184" s="50"/>
      <c r="AC184" s="50"/>
      <c r="AD184" s="103"/>
      <c r="AE184" s="86"/>
      <c r="AF184" s="50"/>
      <c r="AG184" s="49"/>
    </row>
    <row r="185" spans="2:35" ht="75" customHeight="1" x14ac:dyDescent="0.25">
      <c r="B185" s="1217"/>
      <c r="C185" s="1217"/>
      <c r="D185" s="1206"/>
      <c r="E185" s="1235"/>
      <c r="F185" s="1206"/>
      <c r="G185" s="1238"/>
      <c r="H185" s="1237"/>
      <c r="I185" s="95"/>
      <c r="J185" s="95">
        <v>318</v>
      </c>
      <c r="K185" s="292" t="s">
        <v>177</v>
      </c>
      <c r="L185" s="95" t="s">
        <v>39</v>
      </c>
      <c r="M185" s="95">
        <v>8</v>
      </c>
      <c r="N185" s="95" t="s">
        <v>55</v>
      </c>
      <c r="O185" s="266">
        <v>3537000</v>
      </c>
      <c r="P185" s="94"/>
      <c r="Q185" s="280"/>
      <c r="R185" s="94"/>
      <c r="S185" s="283"/>
      <c r="T185" s="283"/>
      <c r="U185" s="283"/>
      <c r="V185" s="283"/>
      <c r="W185" s="91">
        <f>+O185+R185</f>
        <v>3537000</v>
      </c>
      <c r="X185" s="93">
        <v>3537000</v>
      </c>
      <c r="Y185" s="50"/>
      <c r="Z185" s="88">
        <f t="shared" si="31"/>
        <v>3537000</v>
      </c>
      <c r="AA185" s="87">
        <v>41534</v>
      </c>
      <c r="AB185" s="50">
        <v>105</v>
      </c>
      <c r="AC185" s="291" t="s">
        <v>176</v>
      </c>
      <c r="AD185" s="103"/>
      <c r="AE185" s="86"/>
      <c r="AF185" s="50"/>
      <c r="AG185" s="49"/>
      <c r="AH185" s="3">
        <f t="shared" ref="AH185:AH190" si="39">+AI185/Z185</f>
        <v>0</v>
      </c>
      <c r="AI185" s="2">
        <v>0</v>
      </c>
    </row>
    <row r="186" spans="2:35" ht="56.25" customHeight="1" x14ac:dyDescent="0.25">
      <c r="B186" s="1217"/>
      <c r="C186" s="1217"/>
      <c r="D186" s="1206"/>
      <c r="E186" s="1235"/>
      <c r="F186" s="1206"/>
      <c r="G186" s="1238"/>
      <c r="H186" s="1237"/>
      <c r="I186" s="95"/>
      <c r="J186" s="95">
        <v>320</v>
      </c>
      <c r="K186" s="290" t="s">
        <v>175</v>
      </c>
      <c r="L186" s="121" t="s">
        <v>44</v>
      </c>
      <c r="M186" s="121">
        <v>1</v>
      </c>
      <c r="N186" s="121" t="s">
        <v>55</v>
      </c>
      <c r="O186" s="289">
        <v>3537000</v>
      </c>
      <c r="P186" s="116"/>
      <c r="Q186" s="288"/>
      <c r="R186" s="116"/>
      <c r="S186" s="287"/>
      <c r="T186" s="287"/>
      <c r="U186" s="287"/>
      <c r="V186" s="287"/>
      <c r="W186" s="109">
        <f>+O186+R186</f>
        <v>3537000</v>
      </c>
      <c r="X186" s="93">
        <v>3537000</v>
      </c>
      <c r="Y186" s="50"/>
      <c r="Z186" s="88">
        <f t="shared" si="31"/>
        <v>3537000</v>
      </c>
      <c r="AA186" s="50"/>
      <c r="AB186" s="50">
        <v>14</v>
      </c>
      <c r="AC186" s="50" t="s">
        <v>174</v>
      </c>
      <c r="AD186" s="103"/>
      <c r="AE186" s="86"/>
      <c r="AF186" s="50"/>
      <c r="AG186" s="49"/>
      <c r="AH186" s="3">
        <f t="shared" si="39"/>
        <v>1</v>
      </c>
      <c r="AI186" s="2">
        <v>3537000</v>
      </c>
    </row>
    <row r="187" spans="2:35" ht="64.5" customHeight="1" x14ac:dyDescent="0.25">
      <c r="B187" s="1217"/>
      <c r="C187" s="1217"/>
      <c r="D187" s="1206"/>
      <c r="E187" s="1235"/>
      <c r="F187" s="1206"/>
      <c r="G187" s="1238"/>
      <c r="H187" s="1237"/>
      <c r="I187" s="95" t="s">
        <v>28</v>
      </c>
      <c r="J187" s="95">
        <v>319</v>
      </c>
      <c r="K187" s="244" t="s">
        <v>173</v>
      </c>
      <c r="L187" s="95" t="s">
        <v>26</v>
      </c>
      <c r="M187" s="95">
        <v>8</v>
      </c>
      <c r="N187" s="95" t="s">
        <v>172</v>
      </c>
      <c r="O187" s="281">
        <f>60145000-2948000-10000000+48385600</f>
        <v>95582600</v>
      </c>
      <c r="P187" s="94"/>
      <c r="Q187" s="280">
        <f>+O187+P187</f>
        <v>95582600</v>
      </c>
      <c r="R187" s="94"/>
      <c r="S187" s="283"/>
      <c r="T187" s="283"/>
      <c r="U187" s="283"/>
      <c r="V187" s="283">
        <f>+R187+U187</f>
        <v>0</v>
      </c>
      <c r="W187" s="91">
        <f>+Q187+V187</f>
        <v>95582600</v>
      </c>
      <c r="X187" s="93">
        <v>95582600</v>
      </c>
      <c r="Y187" s="50"/>
      <c r="Z187" s="88">
        <f t="shared" si="31"/>
        <v>95582600</v>
      </c>
      <c r="AA187" s="87">
        <v>41572</v>
      </c>
      <c r="AB187" s="50">
        <v>120</v>
      </c>
      <c r="AC187" s="50" t="s">
        <v>171</v>
      </c>
      <c r="AD187" s="103"/>
      <c r="AE187" s="286"/>
      <c r="AF187" s="50"/>
      <c r="AG187" s="49"/>
      <c r="AH187" s="3">
        <f t="shared" si="39"/>
        <v>0</v>
      </c>
      <c r="AI187" s="271"/>
    </row>
    <row r="188" spans="2:35" ht="66.75" customHeight="1" x14ac:dyDescent="0.25">
      <c r="B188" s="1217"/>
      <c r="C188" s="1217"/>
      <c r="D188" s="1206"/>
      <c r="E188" s="1235"/>
      <c r="F188" s="1206"/>
      <c r="G188" s="1238"/>
      <c r="H188" s="1237"/>
      <c r="I188" s="95" t="s">
        <v>28</v>
      </c>
      <c r="J188" s="95">
        <v>169</v>
      </c>
      <c r="K188" s="246" t="s">
        <v>170</v>
      </c>
      <c r="L188" s="95" t="s">
        <v>47</v>
      </c>
      <c r="M188" s="95">
        <v>9</v>
      </c>
      <c r="N188" s="95" t="s">
        <v>55</v>
      </c>
      <c r="O188" s="281">
        <f>26527000-20632000</f>
        <v>5895000</v>
      </c>
      <c r="P188" s="262"/>
      <c r="Q188" s="280">
        <f>+O188+P188</f>
        <v>5895000</v>
      </c>
      <c r="R188" s="94"/>
      <c r="S188" s="283"/>
      <c r="T188" s="283"/>
      <c r="U188" s="283"/>
      <c r="V188" s="282">
        <f>+R188+U188</f>
        <v>0</v>
      </c>
      <c r="W188" s="91">
        <f>+Q188+V188</f>
        <v>5895000</v>
      </c>
      <c r="X188" s="93">
        <v>5895000</v>
      </c>
      <c r="Y188" s="50"/>
      <c r="Z188" s="88">
        <f t="shared" si="31"/>
        <v>5895000</v>
      </c>
      <c r="AA188" s="87">
        <v>41414</v>
      </c>
      <c r="AB188" s="50">
        <v>52</v>
      </c>
      <c r="AC188" s="50" t="s">
        <v>162</v>
      </c>
      <c r="AD188" s="103"/>
      <c r="AE188" s="86"/>
      <c r="AF188" s="50"/>
      <c r="AG188" s="49"/>
      <c r="AH188" s="3">
        <f t="shared" si="39"/>
        <v>0</v>
      </c>
      <c r="AI188" s="2">
        <v>0</v>
      </c>
    </row>
    <row r="189" spans="2:35" ht="53.25" customHeight="1" x14ac:dyDescent="0.25">
      <c r="B189" s="1217"/>
      <c r="C189" s="1217"/>
      <c r="D189" s="1206"/>
      <c r="E189" s="1235"/>
      <c r="F189" s="1206"/>
      <c r="G189" s="1238"/>
      <c r="H189" s="1237"/>
      <c r="I189" s="95" t="s">
        <v>28</v>
      </c>
      <c r="J189" s="95">
        <v>258</v>
      </c>
      <c r="K189" s="246" t="s">
        <v>169</v>
      </c>
      <c r="L189" s="95" t="s">
        <v>56</v>
      </c>
      <c r="M189" s="95">
        <v>8</v>
      </c>
      <c r="N189" s="95" t="s">
        <v>55</v>
      </c>
      <c r="O189" s="281">
        <f>20632000+2948000</f>
        <v>23580000</v>
      </c>
      <c r="P189" s="262"/>
      <c r="Q189" s="280"/>
      <c r="R189" s="94"/>
      <c r="S189" s="283"/>
      <c r="T189" s="283"/>
      <c r="U189" s="283"/>
      <c r="V189" s="282"/>
      <c r="W189" s="91">
        <f>+O189+R189</f>
        <v>23580000</v>
      </c>
      <c r="X189" s="93">
        <v>23580000</v>
      </c>
      <c r="Y189" s="50"/>
      <c r="Z189" s="88">
        <f t="shared" si="31"/>
        <v>23580000</v>
      </c>
      <c r="AA189" s="87">
        <v>41572</v>
      </c>
      <c r="AB189" s="50">
        <v>122</v>
      </c>
      <c r="AC189" s="50" t="s">
        <v>162</v>
      </c>
      <c r="AD189" s="103"/>
      <c r="AE189" s="86"/>
      <c r="AF189" s="50"/>
      <c r="AG189" s="49"/>
      <c r="AH189" s="3">
        <f t="shared" si="39"/>
        <v>0.875</v>
      </c>
      <c r="AI189" s="2">
        <v>20632500</v>
      </c>
    </row>
    <row r="190" spans="2:35" ht="48.75" customHeight="1" x14ac:dyDescent="0.2">
      <c r="B190" s="1217"/>
      <c r="C190" s="1217"/>
      <c r="D190" s="1206"/>
      <c r="E190" s="1235"/>
      <c r="F190" s="1206"/>
      <c r="G190" s="1238"/>
      <c r="H190" s="1237"/>
      <c r="I190" s="95" t="s">
        <v>28</v>
      </c>
      <c r="J190" s="95">
        <v>170</v>
      </c>
      <c r="K190" s="264" t="s">
        <v>168</v>
      </c>
      <c r="L190" s="95" t="s">
        <v>35</v>
      </c>
      <c r="M190" s="95">
        <v>6</v>
      </c>
      <c r="N190" s="95" t="s">
        <v>167</v>
      </c>
      <c r="O190" s="285">
        <v>100000000</v>
      </c>
      <c r="P190" s="262"/>
      <c r="Q190" s="280">
        <f>+O190+P190</f>
        <v>100000000</v>
      </c>
      <c r="R190" s="94"/>
      <c r="S190" s="283"/>
      <c r="T190" s="283"/>
      <c r="U190" s="283"/>
      <c r="V190" s="282">
        <f>+R190+U190</f>
        <v>0</v>
      </c>
      <c r="W190" s="91">
        <f>+Q190+V190</f>
        <v>100000000</v>
      </c>
      <c r="X190" s="93">
        <v>100000000</v>
      </c>
      <c r="Y190" s="50"/>
      <c r="Z190" s="88">
        <f t="shared" si="31"/>
        <v>100000000</v>
      </c>
      <c r="AA190" s="87">
        <v>41437</v>
      </c>
      <c r="AB190" s="50">
        <v>90</v>
      </c>
      <c r="AC190" s="50" t="s">
        <v>166</v>
      </c>
      <c r="AD190" s="103"/>
      <c r="AE190" s="86"/>
      <c r="AF190" s="50"/>
      <c r="AG190" s="49"/>
      <c r="AH190" s="3">
        <f t="shared" si="39"/>
        <v>0</v>
      </c>
      <c r="AI190" s="2">
        <v>0</v>
      </c>
    </row>
    <row r="191" spans="2:35" ht="65.25" customHeight="1" x14ac:dyDescent="0.2">
      <c r="B191" s="1217"/>
      <c r="C191" s="1217"/>
      <c r="D191" s="1206"/>
      <c r="E191" s="1235"/>
      <c r="F191" s="1206"/>
      <c r="G191" s="1238"/>
      <c r="H191" s="1237"/>
      <c r="I191" s="95"/>
      <c r="J191" s="95">
        <v>171</v>
      </c>
      <c r="K191" s="244" t="s">
        <v>165</v>
      </c>
      <c r="L191" s="95" t="s">
        <v>56</v>
      </c>
      <c r="M191" s="95">
        <v>2</v>
      </c>
      <c r="N191" s="95" t="s">
        <v>55</v>
      </c>
      <c r="O191" s="284">
        <f>10000000-10000000</f>
        <v>0</v>
      </c>
      <c r="P191" s="262"/>
      <c r="Q191" s="280">
        <f>+O191+P191</f>
        <v>0</v>
      </c>
      <c r="R191" s="94"/>
      <c r="S191" s="283"/>
      <c r="T191" s="283"/>
      <c r="U191" s="283"/>
      <c r="V191" s="282">
        <f>+R191+U191</f>
        <v>0</v>
      </c>
      <c r="W191" s="91">
        <f>+Q191+V191</f>
        <v>0</v>
      </c>
      <c r="X191" s="50"/>
      <c r="Y191" s="50"/>
      <c r="Z191" s="88">
        <f t="shared" si="31"/>
        <v>0</v>
      </c>
      <c r="AA191" s="50"/>
      <c r="AB191" s="50"/>
      <c r="AC191" s="50"/>
      <c r="AD191" s="103"/>
      <c r="AE191" s="86"/>
      <c r="AF191" s="50"/>
      <c r="AG191" s="49"/>
    </row>
    <row r="192" spans="2:35" ht="45.75" customHeight="1" x14ac:dyDescent="0.25">
      <c r="B192" s="1217"/>
      <c r="C192" s="1217"/>
      <c r="D192" s="1206"/>
      <c r="E192" s="1235"/>
      <c r="F192" s="1206"/>
      <c r="G192" s="1238"/>
      <c r="H192" s="1237"/>
      <c r="I192" s="95" t="s">
        <v>28</v>
      </c>
      <c r="J192" s="154">
        <v>133</v>
      </c>
      <c r="K192" s="216" t="s">
        <v>164</v>
      </c>
      <c r="L192" s="95" t="s">
        <v>74</v>
      </c>
      <c r="M192" s="95">
        <v>3</v>
      </c>
      <c r="N192" s="95" t="s">
        <v>55</v>
      </c>
      <c r="O192" s="281">
        <v>6800400</v>
      </c>
      <c r="Q192" s="280">
        <f>+O192+P192</f>
        <v>6800400</v>
      </c>
      <c r="R192" s="107"/>
      <c r="S192" s="50"/>
      <c r="T192" s="50"/>
      <c r="U192" s="50"/>
      <c r="V192" s="49"/>
      <c r="W192" s="91">
        <f>+Q192+V192</f>
        <v>6800400</v>
      </c>
      <c r="X192" s="262">
        <v>6800400</v>
      </c>
      <c r="Y192" s="50"/>
      <c r="Z192" s="88">
        <f t="shared" si="31"/>
        <v>6800400</v>
      </c>
      <c r="AA192" s="87">
        <v>41313</v>
      </c>
      <c r="AB192" s="279" t="s">
        <v>163</v>
      </c>
      <c r="AC192" s="279" t="s">
        <v>162</v>
      </c>
      <c r="AD192" s="103"/>
      <c r="AE192" s="86"/>
      <c r="AF192" s="50"/>
      <c r="AG192" s="49"/>
      <c r="AH192" s="3">
        <f>+AI192/Z192</f>
        <v>0</v>
      </c>
    </row>
    <row r="193" spans="2:36" ht="32.25" customHeight="1" x14ac:dyDescent="0.25">
      <c r="B193" s="1217"/>
      <c r="C193" s="1217"/>
      <c r="D193" s="1206"/>
      <c r="E193" s="1235"/>
      <c r="F193" s="1206"/>
      <c r="G193" s="1239" t="s">
        <v>23</v>
      </c>
      <c r="H193" s="1240"/>
      <c r="I193" s="1240"/>
      <c r="J193" s="1240"/>
      <c r="K193" s="1240"/>
      <c r="L193" s="1240"/>
      <c r="M193" s="1240"/>
      <c r="N193" s="1241"/>
      <c r="O193" s="278">
        <f t="shared" ref="O193:V193" si="40">SUM(O183:O192)</f>
        <v>238932000</v>
      </c>
      <c r="P193" s="278">
        <f t="shared" si="40"/>
        <v>0</v>
      </c>
      <c r="Q193" s="278">
        <f t="shared" si="40"/>
        <v>208278000</v>
      </c>
      <c r="R193" s="278">
        <f t="shared" si="40"/>
        <v>1918667</v>
      </c>
      <c r="S193" s="278">
        <f t="shared" si="40"/>
        <v>0</v>
      </c>
      <c r="T193" s="278">
        <f t="shared" si="40"/>
        <v>0</v>
      </c>
      <c r="U193" s="278">
        <f t="shared" si="40"/>
        <v>0</v>
      </c>
      <c r="V193" s="278">
        <f t="shared" si="40"/>
        <v>1918667</v>
      </c>
      <c r="W193" s="278">
        <f>+O193+R193</f>
        <v>240850667</v>
      </c>
      <c r="X193" s="227">
        <f>SUM(X183:X192)</f>
        <v>238932000</v>
      </c>
      <c r="Y193" s="227">
        <f>SUM(Y183:Y192)</f>
        <v>1918667</v>
      </c>
      <c r="Z193" s="88">
        <f t="shared" si="31"/>
        <v>240850667</v>
      </c>
      <c r="AA193" s="78"/>
      <c r="AB193" s="78"/>
      <c r="AC193" s="78"/>
      <c r="AD193" s="79">
        <f>+Z193/W193</f>
        <v>1</v>
      </c>
      <c r="AE193" s="78"/>
      <c r="AF193" s="277">
        <f>SUM(AF183:AF192)</f>
        <v>0</v>
      </c>
      <c r="AG193" s="276">
        <f>SUM(AG183:AG192)</f>
        <v>0</v>
      </c>
      <c r="AH193" s="3">
        <f>+AI193/Z193</f>
        <v>0</v>
      </c>
    </row>
    <row r="194" spans="2:36" ht="48" customHeight="1" x14ac:dyDescent="0.25">
      <c r="B194" s="1217"/>
      <c r="C194" s="1217"/>
      <c r="D194" s="1207"/>
      <c r="E194" s="1236"/>
      <c r="F194" s="1207"/>
      <c r="G194" s="1242" t="s">
        <v>161</v>
      </c>
      <c r="H194" s="1243"/>
      <c r="I194" s="1243"/>
      <c r="J194" s="1243"/>
      <c r="K194" s="1243"/>
      <c r="L194" s="1243"/>
      <c r="M194" s="1243"/>
      <c r="N194" s="1244"/>
      <c r="O194" s="91">
        <f>+O193</f>
        <v>238932000</v>
      </c>
      <c r="P194" s="91">
        <f>+P193</f>
        <v>0</v>
      </c>
      <c r="Q194" s="91">
        <f>+O194+P194</f>
        <v>238932000</v>
      </c>
      <c r="R194" s="91">
        <f>+R193</f>
        <v>1918667</v>
      </c>
      <c r="S194" s="91" t="e">
        <f>+#REF!</f>
        <v>#REF!</v>
      </c>
      <c r="T194" s="91"/>
      <c r="U194" s="91" t="e">
        <f>+#REF!</f>
        <v>#REF!</v>
      </c>
      <c r="V194" s="127" t="e">
        <f>+R194+U194</f>
        <v>#REF!</v>
      </c>
      <c r="W194" s="91">
        <f>+O194+R194</f>
        <v>240850667</v>
      </c>
      <c r="X194" s="190">
        <f>+X193</f>
        <v>238932000</v>
      </c>
      <c r="Y194" s="190">
        <f>+Y193</f>
        <v>1918667</v>
      </c>
      <c r="Z194" s="88">
        <f t="shared" si="31"/>
        <v>240850667</v>
      </c>
      <c r="AA194" s="71"/>
      <c r="AB194" s="71"/>
      <c r="AC194" s="71"/>
      <c r="AD194" s="70">
        <f>+Z194/W194</f>
        <v>1</v>
      </c>
      <c r="AE194" s="71"/>
      <c r="AF194" s="275">
        <f>+AF193</f>
        <v>0</v>
      </c>
      <c r="AG194" s="274">
        <f>+AG193</f>
        <v>0</v>
      </c>
      <c r="AH194" s="3">
        <f>+AI194/Z194</f>
        <v>0</v>
      </c>
    </row>
    <row r="195" spans="2:36" ht="56.25" customHeight="1" x14ac:dyDescent="0.25">
      <c r="B195" s="1217" t="str">
        <f>+B183</f>
        <v>PROYECTO NO. 702 Investigación e innovación para la construcción de conocimiento educativo y pedagógico.</v>
      </c>
      <c r="C195" s="1217">
        <f>+C183</f>
        <v>0</v>
      </c>
      <c r="D195" s="1205" t="s">
        <v>160</v>
      </c>
      <c r="E195" s="1205" t="s">
        <v>159</v>
      </c>
      <c r="F195" s="1205" t="s">
        <v>158</v>
      </c>
      <c r="G195" s="1306" t="s">
        <v>157</v>
      </c>
      <c r="H195" s="1261" t="s">
        <v>156</v>
      </c>
      <c r="I195" s="268" t="s">
        <v>28</v>
      </c>
      <c r="J195" s="268">
        <v>172</v>
      </c>
      <c r="K195" s="273" t="s">
        <v>155</v>
      </c>
      <c r="L195" s="242" t="s">
        <v>35</v>
      </c>
      <c r="M195" s="224">
        <v>9</v>
      </c>
      <c r="N195" s="224" t="s">
        <v>55</v>
      </c>
      <c r="O195" s="266">
        <v>70740000</v>
      </c>
      <c r="P195" s="262"/>
      <c r="Q195" s="94">
        <f>+O195+P195</f>
        <v>70740000</v>
      </c>
      <c r="R195" s="93"/>
      <c r="S195" s="93"/>
      <c r="T195" s="93"/>
      <c r="U195" s="93"/>
      <c r="V195" s="92"/>
      <c r="W195" s="91">
        <f>+Q195+V195</f>
        <v>70740000</v>
      </c>
      <c r="X195" s="137">
        <v>70740000</v>
      </c>
      <c r="Y195" s="136"/>
      <c r="Z195" s="88">
        <f t="shared" si="31"/>
        <v>70740000</v>
      </c>
      <c r="AA195" s="87">
        <v>41423</v>
      </c>
      <c r="AB195" s="50">
        <v>54</v>
      </c>
      <c r="AC195" s="50" t="s">
        <v>154</v>
      </c>
      <c r="AD195" s="103"/>
      <c r="AE195" s="86"/>
      <c r="AF195" s="50"/>
      <c r="AG195" s="49"/>
      <c r="AH195" s="3">
        <f>+AI195/Z195</f>
        <v>0.2</v>
      </c>
      <c r="AI195" s="2">
        <v>14148000</v>
      </c>
      <c r="AJ195" s="1" t="s">
        <v>153</v>
      </c>
    </row>
    <row r="196" spans="2:36" ht="63" customHeight="1" x14ac:dyDescent="0.25">
      <c r="B196" s="1217"/>
      <c r="C196" s="1217"/>
      <c r="D196" s="1206"/>
      <c r="E196" s="1206"/>
      <c r="F196" s="1206"/>
      <c r="G196" s="1306"/>
      <c r="H196" s="1261"/>
      <c r="I196" s="268"/>
      <c r="J196" s="268"/>
      <c r="K196" s="272" t="s">
        <v>152</v>
      </c>
      <c r="L196" s="242" t="s">
        <v>26</v>
      </c>
      <c r="M196" s="224">
        <v>9</v>
      </c>
      <c r="N196" s="224" t="s">
        <v>55</v>
      </c>
      <c r="O196" s="266">
        <f>15000000-15000000</f>
        <v>0</v>
      </c>
      <c r="P196" s="262"/>
      <c r="Q196" s="94">
        <f>+O196+P196</f>
        <v>0</v>
      </c>
      <c r="R196" s="93"/>
      <c r="S196" s="93"/>
      <c r="T196" s="93"/>
      <c r="U196" s="93"/>
      <c r="V196" s="92"/>
      <c r="W196" s="91">
        <f>+Q196+V196</f>
        <v>0</v>
      </c>
      <c r="X196" s="133"/>
      <c r="Y196" s="50"/>
      <c r="Z196" s="88">
        <f t="shared" si="31"/>
        <v>0</v>
      </c>
      <c r="AA196" s="50"/>
      <c r="AB196" s="50"/>
      <c r="AC196" s="50"/>
      <c r="AD196" s="103"/>
      <c r="AE196" s="86"/>
      <c r="AF196" s="50"/>
      <c r="AG196" s="49"/>
    </row>
    <row r="197" spans="2:36" ht="70.5" customHeight="1" x14ac:dyDescent="0.25">
      <c r="B197" s="1217"/>
      <c r="C197" s="1217"/>
      <c r="D197" s="1206"/>
      <c r="E197" s="1206"/>
      <c r="F197" s="1206"/>
      <c r="G197" s="1306"/>
      <c r="H197" s="1261"/>
      <c r="I197" s="268" t="s">
        <v>28</v>
      </c>
      <c r="J197" s="268">
        <v>319</v>
      </c>
      <c r="K197" s="272" t="s">
        <v>151</v>
      </c>
      <c r="L197" s="242" t="s">
        <v>150</v>
      </c>
      <c r="M197" s="224">
        <v>10</v>
      </c>
      <c r="N197" s="224" t="s">
        <v>55</v>
      </c>
      <c r="O197" s="266">
        <f>15000000+4785000</f>
        <v>19785000</v>
      </c>
      <c r="P197" s="262"/>
      <c r="Q197" s="94"/>
      <c r="R197" s="93"/>
      <c r="S197" s="93"/>
      <c r="T197" s="93"/>
      <c r="U197" s="93"/>
      <c r="V197" s="92"/>
      <c r="W197" s="91">
        <f>+O197+R197</f>
        <v>19785000</v>
      </c>
      <c r="X197" s="137">
        <v>19785000</v>
      </c>
      <c r="Y197" s="136"/>
      <c r="Z197" s="88">
        <f t="shared" si="31"/>
        <v>19785000</v>
      </c>
      <c r="AA197" s="87">
        <v>41572</v>
      </c>
      <c r="AB197" s="50">
        <v>120</v>
      </c>
      <c r="AC197" s="50" t="s">
        <v>149</v>
      </c>
      <c r="AD197" s="103"/>
      <c r="AE197" s="86"/>
      <c r="AF197" s="50"/>
      <c r="AG197" s="49"/>
      <c r="AH197" s="3">
        <f>+AI197/Z197</f>
        <v>0</v>
      </c>
      <c r="AI197" s="271"/>
    </row>
    <row r="198" spans="2:36" ht="70.5" customHeight="1" x14ac:dyDescent="0.25">
      <c r="B198" s="1217"/>
      <c r="C198" s="1217"/>
      <c r="D198" s="1206"/>
      <c r="E198" s="1206"/>
      <c r="F198" s="1206"/>
      <c r="G198" s="1306"/>
      <c r="H198" s="1261"/>
      <c r="I198" s="268"/>
      <c r="J198" s="268"/>
      <c r="K198" s="270" t="s">
        <v>148</v>
      </c>
      <c r="L198" s="269" t="s">
        <v>35</v>
      </c>
      <c r="M198" s="224">
        <v>9</v>
      </c>
      <c r="N198" s="224" t="s">
        <v>55</v>
      </c>
      <c r="O198" s="266">
        <f>4785000-4785000</f>
        <v>0</v>
      </c>
      <c r="P198" s="262"/>
      <c r="Q198" s="94">
        <f>+O198+P198</f>
        <v>0</v>
      </c>
      <c r="R198" s="93"/>
      <c r="S198" s="93"/>
      <c r="T198" s="93"/>
      <c r="U198" s="93"/>
      <c r="V198" s="92"/>
      <c r="W198" s="91">
        <f>+Q198+V198</f>
        <v>0</v>
      </c>
      <c r="X198" s="137"/>
      <c r="Y198" s="136"/>
      <c r="Z198" s="88">
        <f t="shared" si="31"/>
        <v>0</v>
      </c>
      <c r="AA198" s="50"/>
      <c r="AB198" s="50"/>
      <c r="AC198" s="50"/>
      <c r="AD198" s="103"/>
      <c r="AE198" s="86"/>
      <c r="AF198" s="50"/>
      <c r="AG198" s="49"/>
    </row>
    <row r="199" spans="2:36" ht="64.5" customHeight="1" x14ac:dyDescent="0.25">
      <c r="B199" s="1217"/>
      <c r="C199" s="1217"/>
      <c r="D199" s="1206"/>
      <c r="E199" s="1206"/>
      <c r="F199" s="1206"/>
      <c r="G199" s="1306"/>
      <c r="H199" s="1261"/>
      <c r="I199" s="268"/>
      <c r="J199" s="268"/>
      <c r="K199" s="267" t="s">
        <v>147</v>
      </c>
      <c r="L199" s="242" t="s">
        <v>26</v>
      </c>
      <c r="M199" s="224">
        <v>5</v>
      </c>
      <c r="N199" s="224" t="s">
        <v>55</v>
      </c>
      <c r="O199" s="266">
        <f>14737500-14737500</f>
        <v>0</v>
      </c>
      <c r="P199" s="262"/>
      <c r="Q199" s="94">
        <f>+O199+P199</f>
        <v>0</v>
      </c>
      <c r="R199" s="93"/>
      <c r="S199" s="93"/>
      <c r="T199" s="93"/>
      <c r="U199" s="93"/>
      <c r="V199" s="92"/>
      <c r="W199" s="91">
        <f>+O199+R199</f>
        <v>0</v>
      </c>
      <c r="X199" s="137"/>
      <c r="Y199" s="136"/>
      <c r="Z199" s="88">
        <f t="shared" si="31"/>
        <v>0</v>
      </c>
      <c r="AA199" s="50"/>
      <c r="AB199" s="50"/>
      <c r="AC199" s="50"/>
      <c r="AD199" s="103"/>
      <c r="AE199" s="86"/>
      <c r="AF199" s="50"/>
      <c r="AG199" s="49"/>
    </row>
    <row r="200" spans="2:36" ht="51" customHeight="1" x14ac:dyDescent="0.25">
      <c r="B200" s="1217"/>
      <c r="C200" s="1217"/>
      <c r="D200" s="1206"/>
      <c r="E200" s="1206"/>
      <c r="F200" s="1206"/>
      <c r="G200" s="1306"/>
      <c r="H200" s="1261"/>
      <c r="I200" s="268"/>
      <c r="J200" s="268"/>
      <c r="K200" s="267" t="s">
        <v>146</v>
      </c>
      <c r="L200" s="242" t="s">
        <v>26</v>
      </c>
      <c r="M200" s="224">
        <v>5</v>
      </c>
      <c r="N200" s="224" t="s">
        <v>55</v>
      </c>
      <c r="O200" s="266">
        <f>14737500-14737500</f>
        <v>0</v>
      </c>
      <c r="P200" s="262"/>
      <c r="Q200" s="94">
        <f>+O200+P200</f>
        <v>0</v>
      </c>
      <c r="R200" s="93"/>
      <c r="S200" s="93"/>
      <c r="T200" s="93"/>
      <c r="U200" s="93"/>
      <c r="V200" s="92"/>
      <c r="W200" s="91">
        <f>+O200+R200</f>
        <v>0</v>
      </c>
      <c r="X200" s="136"/>
      <c r="Y200" s="136"/>
      <c r="Z200" s="88">
        <f t="shared" si="31"/>
        <v>0</v>
      </c>
      <c r="AA200" s="50"/>
      <c r="AB200" s="50"/>
      <c r="AC200" s="50"/>
      <c r="AD200" s="103"/>
      <c r="AE200" s="86"/>
      <c r="AF200" s="50"/>
      <c r="AG200" s="49"/>
    </row>
    <row r="201" spans="2:36" ht="87.75" customHeight="1" x14ac:dyDescent="0.25">
      <c r="B201" s="1217"/>
      <c r="C201" s="1217"/>
      <c r="D201" s="1206"/>
      <c r="E201" s="1206"/>
      <c r="F201" s="1206"/>
      <c r="G201" s="1306"/>
      <c r="H201" s="1261"/>
      <c r="I201" s="265" t="s">
        <v>28</v>
      </c>
      <c r="J201" s="265">
        <v>291</v>
      </c>
      <c r="K201" s="264" t="s">
        <v>145</v>
      </c>
      <c r="L201" s="242" t="s">
        <v>26</v>
      </c>
      <c r="M201" s="224">
        <v>5</v>
      </c>
      <c r="N201" s="224" t="s">
        <v>55</v>
      </c>
      <c r="O201" s="263">
        <v>14737500</v>
      </c>
      <c r="P201" s="262"/>
      <c r="Q201" s="94"/>
      <c r="R201" s="93"/>
      <c r="S201" s="93"/>
      <c r="T201" s="93"/>
      <c r="U201" s="93"/>
      <c r="V201" s="92"/>
      <c r="W201" s="91">
        <f>+O201+R201</f>
        <v>14737500</v>
      </c>
      <c r="X201" s="136">
        <v>14737500</v>
      </c>
      <c r="Y201" s="136"/>
      <c r="Z201" s="88">
        <f t="shared" si="31"/>
        <v>14737500</v>
      </c>
      <c r="AA201" s="87">
        <v>41506</v>
      </c>
      <c r="AB201" s="50">
        <v>83</v>
      </c>
      <c r="AC201" s="50" t="s">
        <v>144</v>
      </c>
      <c r="AD201" s="103"/>
      <c r="AE201" s="86"/>
      <c r="AF201" s="50"/>
      <c r="AG201" s="49"/>
      <c r="AH201" s="3">
        <f>+AI201/Z201</f>
        <v>0.6</v>
      </c>
      <c r="AI201" s="2">
        <v>8842500</v>
      </c>
    </row>
    <row r="202" spans="2:36" ht="65.25" customHeight="1" x14ac:dyDescent="0.25">
      <c r="B202" s="1217"/>
      <c r="C202" s="1217"/>
      <c r="D202" s="1206"/>
      <c r="E202" s="1206"/>
      <c r="F202" s="1206"/>
      <c r="G202" s="1306"/>
      <c r="H202" s="1261"/>
      <c r="I202" s="265" t="s">
        <v>28</v>
      </c>
      <c r="J202" s="265">
        <v>292</v>
      </c>
      <c r="K202" s="264" t="s">
        <v>143</v>
      </c>
      <c r="L202" s="242" t="s">
        <v>142</v>
      </c>
      <c r="M202" s="224">
        <v>5</v>
      </c>
      <c r="N202" s="224" t="s">
        <v>55</v>
      </c>
      <c r="O202" s="263">
        <v>14737500</v>
      </c>
      <c r="P202" s="262"/>
      <c r="Q202" s="94"/>
      <c r="R202" s="93"/>
      <c r="S202" s="93"/>
      <c r="T202" s="93"/>
      <c r="U202" s="93"/>
      <c r="V202" s="92"/>
      <c r="W202" s="91">
        <f>+O202+R202</f>
        <v>14737500</v>
      </c>
      <c r="X202" s="107">
        <v>14737500</v>
      </c>
      <c r="Y202" s="50"/>
      <c r="Z202" s="88">
        <f t="shared" si="31"/>
        <v>14737500</v>
      </c>
      <c r="AA202" s="87">
        <v>41491</v>
      </c>
      <c r="AB202" s="261">
        <v>76</v>
      </c>
      <c r="AC202" s="50" t="s">
        <v>141</v>
      </c>
      <c r="AD202" s="103"/>
      <c r="AE202" s="86"/>
      <c r="AF202" s="50"/>
      <c r="AG202" s="49"/>
      <c r="AH202" s="3">
        <f>+AI202/Z202</f>
        <v>0.6</v>
      </c>
      <c r="AI202" s="2">
        <v>8842500</v>
      </c>
    </row>
    <row r="203" spans="2:36" ht="36.75" customHeight="1" x14ac:dyDescent="0.25">
      <c r="B203" s="1217"/>
      <c r="C203" s="1217"/>
      <c r="D203" s="1206"/>
      <c r="E203" s="1206"/>
      <c r="F203" s="1206"/>
      <c r="G203" s="1239" t="s">
        <v>23</v>
      </c>
      <c r="H203" s="1240"/>
      <c r="I203" s="1240"/>
      <c r="J203" s="1240"/>
      <c r="K203" s="1241"/>
      <c r="L203" s="102"/>
      <c r="M203" s="260"/>
      <c r="N203" s="260"/>
      <c r="O203" s="259">
        <f>SUM(O195:O202)</f>
        <v>120000000</v>
      </c>
      <c r="P203" s="82" t="e">
        <f>SUM(#REF!)</f>
        <v>#REF!</v>
      </c>
      <c r="Q203" s="82" t="e">
        <f>+O203+P203</f>
        <v>#REF!</v>
      </c>
      <c r="R203" s="82">
        <f>SUM(R195:R200)</f>
        <v>0</v>
      </c>
      <c r="S203" s="82">
        <f>SUM(S195:S200)</f>
        <v>0</v>
      </c>
      <c r="T203" s="82"/>
      <c r="U203" s="82">
        <f>SUM(U195:U200)</f>
        <v>0</v>
      </c>
      <c r="V203" s="82">
        <f>SUM(V195:V200)</f>
        <v>0</v>
      </c>
      <c r="W203" s="82">
        <f>+O203+R203</f>
        <v>120000000</v>
      </c>
      <c r="X203" s="82">
        <f>SUM(X195:X202)</f>
        <v>120000000</v>
      </c>
      <c r="Y203" s="82">
        <f>SUM(Y195:Y202)</f>
        <v>0</v>
      </c>
      <c r="Z203" s="88">
        <f t="shared" si="31"/>
        <v>120000000</v>
      </c>
      <c r="AA203" s="78"/>
      <c r="AB203" s="78"/>
      <c r="AC203" s="226"/>
      <c r="AD203" s="79">
        <f>+Z203/W203</f>
        <v>1</v>
      </c>
      <c r="AE203" s="78"/>
      <c r="AF203" s="78">
        <f>SUM(AF195:AF202)</f>
        <v>0</v>
      </c>
      <c r="AG203" s="226">
        <f>SUM(AG195:AG202)</f>
        <v>0</v>
      </c>
    </row>
    <row r="204" spans="2:36" ht="20.25" customHeight="1" x14ac:dyDescent="0.25">
      <c r="B204" s="1217"/>
      <c r="C204" s="1218"/>
      <c r="D204" s="1207"/>
      <c r="E204" s="1207"/>
      <c r="F204" s="1207"/>
      <c r="G204" s="1242" t="s">
        <v>140</v>
      </c>
      <c r="H204" s="1243"/>
      <c r="I204" s="1243"/>
      <c r="J204" s="1243"/>
      <c r="K204" s="1243"/>
      <c r="L204" s="1243"/>
      <c r="M204" s="1243"/>
      <c r="N204" s="1244"/>
      <c r="O204" s="258">
        <f t="shared" ref="O204:Y204" si="41">+O203</f>
        <v>120000000</v>
      </c>
      <c r="P204" s="258" t="e">
        <f t="shared" si="41"/>
        <v>#REF!</v>
      </c>
      <c r="Q204" s="258" t="e">
        <f t="shared" si="41"/>
        <v>#REF!</v>
      </c>
      <c r="R204" s="258">
        <f t="shared" si="41"/>
        <v>0</v>
      </c>
      <c r="S204" s="258">
        <f t="shared" si="41"/>
        <v>0</v>
      </c>
      <c r="T204" s="258">
        <f t="shared" si="41"/>
        <v>0</v>
      </c>
      <c r="U204" s="258">
        <f t="shared" si="41"/>
        <v>0</v>
      </c>
      <c r="V204" s="258">
        <f t="shared" si="41"/>
        <v>0</v>
      </c>
      <c r="W204" s="258">
        <f t="shared" si="41"/>
        <v>120000000</v>
      </c>
      <c r="X204" s="190">
        <f t="shared" si="41"/>
        <v>120000000</v>
      </c>
      <c r="Y204" s="257">
        <f t="shared" si="41"/>
        <v>0</v>
      </c>
      <c r="Z204" s="88">
        <f t="shared" si="31"/>
        <v>120000000</v>
      </c>
      <c r="AA204" s="71"/>
      <c r="AB204" s="71"/>
      <c r="AC204" s="256"/>
      <c r="AD204" s="70">
        <f>+Z204/W204</f>
        <v>1</v>
      </c>
      <c r="AE204" s="71"/>
      <c r="AF204" s="71">
        <f>+AF203</f>
        <v>0</v>
      </c>
      <c r="AG204" s="256">
        <f>+AG203</f>
        <v>0</v>
      </c>
    </row>
    <row r="205" spans="2:36" ht="22.5" customHeight="1" thickBot="1" x14ac:dyDescent="0.3">
      <c r="B205" s="187"/>
      <c r="C205" s="1303" t="s">
        <v>139</v>
      </c>
      <c r="D205" s="1304"/>
      <c r="E205" s="1304"/>
      <c r="F205" s="1304"/>
      <c r="G205" s="1304"/>
      <c r="H205" s="1304"/>
      <c r="I205" s="1304"/>
      <c r="J205" s="1304"/>
      <c r="K205" s="1305"/>
      <c r="L205" s="255"/>
      <c r="M205" s="254"/>
      <c r="N205" s="254"/>
      <c r="O205" s="253">
        <f t="shared" ref="O205:Y205" si="42">+O182+O194+O204</f>
        <v>1141685000</v>
      </c>
      <c r="P205" s="253" t="e">
        <f t="shared" si="42"/>
        <v>#REF!</v>
      </c>
      <c r="Q205" s="253" t="e">
        <f t="shared" si="42"/>
        <v>#REF!</v>
      </c>
      <c r="R205" s="253">
        <f t="shared" si="42"/>
        <v>1918667</v>
      </c>
      <c r="S205" s="253" t="e">
        <f t="shared" si="42"/>
        <v>#REF!</v>
      </c>
      <c r="T205" s="253">
        <f t="shared" si="42"/>
        <v>0</v>
      </c>
      <c r="U205" s="253" t="e">
        <f t="shared" si="42"/>
        <v>#REF!</v>
      </c>
      <c r="V205" s="253" t="e">
        <f t="shared" si="42"/>
        <v>#REF!</v>
      </c>
      <c r="W205" s="253">
        <f t="shared" si="42"/>
        <v>1143603667</v>
      </c>
      <c r="X205" s="253">
        <f t="shared" si="42"/>
        <v>1141685000</v>
      </c>
      <c r="Y205" s="253">
        <f t="shared" si="42"/>
        <v>1918667</v>
      </c>
      <c r="Z205" s="88">
        <f t="shared" si="31"/>
        <v>1143603667</v>
      </c>
      <c r="AA205" s="60"/>
      <c r="AB205" s="60"/>
      <c r="AC205" s="252"/>
      <c r="AD205" s="59">
        <f>+Z205/W205</f>
        <v>1</v>
      </c>
      <c r="AE205" s="60"/>
      <c r="AF205" s="251">
        <f>+AF182+AF194+AF204</f>
        <v>0</v>
      </c>
      <c r="AG205" s="250">
        <f>+AG182+AG194+AG204</f>
        <v>0</v>
      </c>
    </row>
    <row r="206" spans="2:36" s="138" customFormat="1" ht="45" customHeight="1" x14ac:dyDescent="0.25">
      <c r="B206" s="1295" t="str">
        <f>+B195</f>
        <v>PROYECTO NO. 702 Investigación e innovación para la construcción de conocimiento educativo y pedagógico.</v>
      </c>
      <c r="C206" s="1250" t="s">
        <v>138</v>
      </c>
      <c r="D206" s="1205" t="s">
        <v>137</v>
      </c>
      <c r="E206" s="1249" t="s">
        <v>136</v>
      </c>
      <c r="F206" s="1219" t="s">
        <v>135</v>
      </c>
      <c r="G206" s="1211" t="s">
        <v>134</v>
      </c>
      <c r="H206" s="1211" t="s">
        <v>133</v>
      </c>
      <c r="I206" s="95" t="s">
        <v>28</v>
      </c>
      <c r="J206" s="95">
        <v>222</v>
      </c>
      <c r="K206" s="246" t="s">
        <v>132</v>
      </c>
      <c r="L206" s="223" t="s">
        <v>121</v>
      </c>
      <c r="M206" s="95">
        <v>11</v>
      </c>
      <c r="N206" s="95" t="s">
        <v>55</v>
      </c>
      <c r="O206" s="249">
        <f>35000000+10000000+3100000</f>
        <v>48100000</v>
      </c>
      <c r="P206" s="131"/>
      <c r="Q206" s="93">
        <f>+O206+P206</f>
        <v>48100000</v>
      </c>
      <c r="R206" s="182"/>
      <c r="S206" s="182"/>
      <c r="T206" s="182"/>
      <c r="U206" s="131"/>
      <c r="V206" s="92"/>
      <c r="W206" s="91">
        <f>+Q206+V206</f>
        <v>48100000</v>
      </c>
      <c r="X206" s="232">
        <v>48100000</v>
      </c>
      <c r="Y206" s="105"/>
      <c r="Z206" s="88">
        <f t="shared" si="31"/>
        <v>48100000</v>
      </c>
      <c r="AA206" s="106">
        <v>41523</v>
      </c>
      <c r="AB206" s="105">
        <v>99</v>
      </c>
      <c r="AC206" s="146" t="s">
        <v>131</v>
      </c>
      <c r="AD206" s="147"/>
      <c r="AE206" s="104"/>
      <c r="AF206" s="105"/>
      <c r="AG206" s="146"/>
      <c r="AH206" s="3">
        <f>+AI206/Z206</f>
        <v>0.81288981288981288</v>
      </c>
      <c r="AI206" s="139">
        <v>39100000</v>
      </c>
    </row>
    <row r="207" spans="2:36" s="138" customFormat="1" ht="30.75" customHeight="1" x14ac:dyDescent="0.25">
      <c r="B207" s="1217"/>
      <c r="C207" s="1251"/>
      <c r="D207" s="1206"/>
      <c r="E207" s="1249"/>
      <c r="F207" s="1219"/>
      <c r="G207" s="1212"/>
      <c r="H207" s="1212"/>
      <c r="I207" s="95"/>
      <c r="J207" s="95">
        <v>223</v>
      </c>
      <c r="K207" s="248" t="s">
        <v>130</v>
      </c>
      <c r="L207" s="121" t="s">
        <v>35</v>
      </c>
      <c r="M207" s="121">
        <v>6</v>
      </c>
      <c r="N207" s="121" t="s">
        <v>55</v>
      </c>
      <c r="O207" s="198">
        <v>32268000</v>
      </c>
      <c r="P207" s="116"/>
      <c r="Q207" s="115">
        <f>+O207+P207</f>
        <v>32268000</v>
      </c>
      <c r="R207" s="115"/>
      <c r="S207" s="115"/>
      <c r="T207" s="115"/>
      <c r="U207" s="116"/>
      <c r="V207" s="114"/>
      <c r="W207" s="109">
        <f>+Q207+V207</f>
        <v>32268000</v>
      </c>
      <c r="X207" s="232"/>
      <c r="Y207" s="105"/>
      <c r="Z207" s="88">
        <f t="shared" si="31"/>
        <v>0</v>
      </c>
      <c r="AA207" s="105"/>
      <c r="AB207" s="105"/>
      <c r="AC207" s="146"/>
      <c r="AD207" s="147"/>
      <c r="AE207" s="104"/>
      <c r="AF207" s="105"/>
      <c r="AG207" s="146"/>
      <c r="AH207" s="3"/>
      <c r="AI207" s="139"/>
    </row>
    <row r="208" spans="2:36" s="138" customFormat="1" ht="36" customHeight="1" x14ac:dyDescent="0.25">
      <c r="B208" s="1217"/>
      <c r="C208" s="1251"/>
      <c r="D208" s="1206"/>
      <c r="E208" s="1249"/>
      <c r="F208" s="1219"/>
      <c r="G208" s="1212"/>
      <c r="H208" s="1212"/>
      <c r="I208" s="95"/>
      <c r="J208" s="95"/>
      <c r="K208" s="246" t="s">
        <v>129</v>
      </c>
      <c r="L208" s="223" t="s">
        <v>35</v>
      </c>
      <c r="M208" s="95">
        <v>3</v>
      </c>
      <c r="N208" s="95" t="s">
        <v>55</v>
      </c>
      <c r="O208" s="211">
        <f>5895000-5895000</f>
        <v>0</v>
      </c>
      <c r="P208" s="131"/>
      <c r="Q208" s="93">
        <f>+O208+P208</f>
        <v>0</v>
      </c>
      <c r="R208" s="182"/>
      <c r="S208" s="182"/>
      <c r="T208" s="182"/>
      <c r="U208" s="131"/>
      <c r="V208" s="92"/>
      <c r="W208" s="91">
        <f>+Q208+V208</f>
        <v>0</v>
      </c>
      <c r="X208" s="232"/>
      <c r="Y208" s="105"/>
      <c r="Z208" s="88">
        <f t="shared" si="31"/>
        <v>0</v>
      </c>
      <c r="AA208" s="105"/>
      <c r="AB208" s="105"/>
      <c r="AC208" s="146"/>
      <c r="AD208" s="147"/>
      <c r="AE208" s="104"/>
      <c r="AF208" s="105"/>
      <c r="AG208" s="146"/>
      <c r="AH208" s="3"/>
      <c r="AI208" s="139"/>
    </row>
    <row r="209" spans="2:35" s="138" customFormat="1" ht="51" x14ac:dyDescent="0.25">
      <c r="B209" s="1217"/>
      <c r="C209" s="1251"/>
      <c r="D209" s="1206"/>
      <c r="E209" s="1249"/>
      <c r="F209" s="1219"/>
      <c r="G209" s="1212"/>
      <c r="H209" s="1212"/>
      <c r="I209" s="95" t="s">
        <v>28</v>
      </c>
      <c r="J209" s="95">
        <v>225</v>
      </c>
      <c r="K209" s="246" t="s">
        <v>127</v>
      </c>
      <c r="L209" s="223" t="s">
        <v>35</v>
      </c>
      <c r="M209" s="95">
        <v>10</v>
      </c>
      <c r="N209" s="95" t="s">
        <v>117</v>
      </c>
      <c r="O209" s="211">
        <v>7950000</v>
      </c>
      <c r="P209" s="131"/>
      <c r="Q209" s="93">
        <f>+O209+P209</f>
        <v>7950000</v>
      </c>
      <c r="R209" s="182"/>
      <c r="S209" s="182"/>
      <c r="T209" s="182"/>
      <c r="U209" s="131"/>
      <c r="V209" s="92"/>
      <c r="W209" s="91">
        <f>+Q209+V209</f>
        <v>7950000</v>
      </c>
      <c r="X209" s="232">
        <v>7950000</v>
      </c>
      <c r="Y209" s="105"/>
      <c r="Z209" s="88">
        <f t="shared" si="31"/>
        <v>7950000</v>
      </c>
      <c r="AA209" s="106">
        <v>41506</v>
      </c>
      <c r="AB209" s="105">
        <v>84</v>
      </c>
      <c r="AC209" s="247" t="s">
        <v>128</v>
      </c>
      <c r="AD209" s="147"/>
      <c r="AE209" s="105"/>
      <c r="AF209" s="105"/>
      <c r="AG209" s="146"/>
      <c r="AH209" s="3">
        <f>+AI209/Z209</f>
        <v>0.5</v>
      </c>
      <c r="AI209" s="139">
        <v>3975000</v>
      </c>
    </row>
    <row r="210" spans="2:35" s="138" customFormat="1" ht="33.75" customHeight="1" x14ac:dyDescent="0.25">
      <c r="B210" s="1217"/>
      <c r="C210" s="1251"/>
      <c r="D210" s="1206"/>
      <c r="E210" s="1249"/>
      <c r="F210" s="1219"/>
      <c r="G210" s="1212"/>
      <c r="H210" s="1212"/>
      <c r="I210" s="95"/>
      <c r="J210" s="95"/>
      <c r="K210" s="216" t="s">
        <v>127</v>
      </c>
      <c r="L210" s="223"/>
      <c r="M210" s="95"/>
      <c r="N210" s="95"/>
      <c r="O210" s="245">
        <f>15000000-7950000-7050000</f>
        <v>0</v>
      </c>
      <c r="P210" s="131"/>
      <c r="Q210" s="93"/>
      <c r="R210" s="182"/>
      <c r="S210" s="182"/>
      <c r="T210" s="182"/>
      <c r="U210" s="131"/>
      <c r="V210" s="92"/>
      <c r="W210" s="91">
        <f>+O210+R210</f>
        <v>0</v>
      </c>
      <c r="X210" s="232"/>
      <c r="Y210" s="105"/>
      <c r="Z210" s="88">
        <f t="shared" si="31"/>
        <v>0</v>
      </c>
      <c r="AA210" s="106"/>
      <c r="AB210" s="105"/>
      <c r="AC210" s="247"/>
      <c r="AD210" s="147"/>
      <c r="AE210" s="105"/>
      <c r="AF210" s="105"/>
      <c r="AG210" s="146"/>
      <c r="AH210" s="3"/>
      <c r="AI210" s="139"/>
    </row>
    <row r="211" spans="2:35" s="138" customFormat="1" ht="38.25" x14ac:dyDescent="0.25">
      <c r="B211" s="1217"/>
      <c r="C211" s="1251"/>
      <c r="D211" s="1206"/>
      <c r="E211" s="1249"/>
      <c r="F211" s="1219"/>
      <c r="G211" s="1212"/>
      <c r="H211" s="1212"/>
      <c r="I211" s="95"/>
      <c r="J211" s="95"/>
      <c r="K211" s="246" t="s">
        <v>127</v>
      </c>
      <c r="L211" s="223" t="s">
        <v>59</v>
      </c>
      <c r="M211" s="95">
        <v>3</v>
      </c>
      <c r="N211" s="95" t="s">
        <v>115</v>
      </c>
      <c r="O211" s="245">
        <f>2795000-2795000</f>
        <v>0</v>
      </c>
      <c r="P211" s="131"/>
      <c r="Q211" s="93"/>
      <c r="R211" s="182"/>
      <c r="S211" s="182"/>
      <c r="T211" s="182"/>
      <c r="U211" s="131"/>
      <c r="V211" s="92"/>
      <c r="W211" s="91">
        <f>+O211+R211</f>
        <v>0</v>
      </c>
      <c r="X211" s="232"/>
      <c r="Y211" s="105"/>
      <c r="Z211" s="88">
        <f t="shared" si="31"/>
        <v>0</v>
      </c>
      <c r="AA211" s="105"/>
      <c r="AB211" s="105"/>
      <c r="AC211" s="146"/>
      <c r="AD211" s="147"/>
      <c r="AE211" s="105"/>
      <c r="AF211" s="105"/>
      <c r="AG211" s="146"/>
      <c r="AH211" s="3"/>
      <c r="AI211" s="139"/>
    </row>
    <row r="212" spans="2:35" s="138" customFormat="1" ht="24" customHeight="1" thickBot="1" x14ac:dyDescent="0.3">
      <c r="B212" s="1217"/>
      <c r="C212" s="1251"/>
      <c r="D212" s="1206"/>
      <c r="E212" s="1249"/>
      <c r="F212" s="1219"/>
      <c r="G212" s="1212"/>
      <c r="H212" s="1212"/>
      <c r="I212" s="95" t="s">
        <v>28</v>
      </c>
      <c r="J212" s="95">
        <v>226</v>
      </c>
      <c r="K212" s="244" t="s">
        <v>126</v>
      </c>
      <c r="L212" s="243" t="s">
        <v>59</v>
      </c>
      <c r="M212" s="242">
        <v>1</v>
      </c>
      <c r="N212" s="242" t="s">
        <v>46</v>
      </c>
      <c r="O212" s="241">
        <v>19944422</v>
      </c>
      <c r="P212" s="131"/>
      <c r="Q212" s="93">
        <f>+O212+P212</f>
        <v>19944422</v>
      </c>
      <c r="R212" s="182"/>
      <c r="S212" s="182"/>
      <c r="T212" s="182"/>
      <c r="U212" s="131"/>
      <c r="V212" s="92"/>
      <c r="W212" s="91">
        <f>+Q212+V212</f>
        <v>19944422</v>
      </c>
      <c r="X212" s="232">
        <v>19944422</v>
      </c>
      <c r="Y212" s="105"/>
      <c r="Z212" s="88">
        <f t="shared" si="31"/>
        <v>19944422</v>
      </c>
      <c r="AA212" s="106">
        <v>41556</v>
      </c>
      <c r="AB212" s="105">
        <v>117</v>
      </c>
      <c r="AC212" s="146" t="s">
        <v>125</v>
      </c>
      <c r="AD212" s="147"/>
      <c r="AE212" s="230"/>
      <c r="AF212" s="105"/>
      <c r="AG212" s="146"/>
      <c r="AH212" s="3">
        <f>+AI212/Z212</f>
        <v>0</v>
      </c>
      <c r="AI212" s="240"/>
    </row>
    <row r="213" spans="2:35" s="138" customFormat="1" ht="33" customHeight="1" x14ac:dyDescent="0.25">
      <c r="B213" s="1217"/>
      <c r="C213" s="1251"/>
      <c r="D213" s="1206"/>
      <c r="E213" s="1249"/>
      <c r="F213" s="1219"/>
      <c r="G213" s="1212"/>
      <c r="H213" s="1212"/>
      <c r="I213" s="95"/>
      <c r="J213" s="154"/>
      <c r="K213" s="239" t="s">
        <v>124</v>
      </c>
      <c r="L213" s="238"/>
      <c r="M213" s="237"/>
      <c r="N213" s="237"/>
      <c r="O213" s="236">
        <f>21456500-19944422</f>
        <v>1512078</v>
      </c>
      <c r="P213" s="235"/>
      <c r="Q213" s="235"/>
      <c r="R213" s="235"/>
      <c r="S213" s="235"/>
      <c r="T213" s="235"/>
      <c r="U213" s="235"/>
      <c r="V213" s="234"/>
      <c r="W213" s="233">
        <f>+O213+R213</f>
        <v>1512078</v>
      </c>
      <c r="X213" s="232"/>
      <c r="Y213" s="231"/>
      <c r="Z213" s="88">
        <f t="shared" si="31"/>
        <v>0</v>
      </c>
      <c r="AA213" s="105"/>
      <c r="AB213" s="105"/>
      <c r="AC213" s="146"/>
      <c r="AD213" s="147"/>
      <c r="AE213" s="230"/>
      <c r="AF213" s="105"/>
      <c r="AG213" s="146"/>
      <c r="AH213" s="3"/>
      <c r="AI213" s="139"/>
    </row>
    <row r="214" spans="2:35" s="138" customFormat="1" ht="12" customHeight="1" thickBot="1" x14ac:dyDescent="0.3">
      <c r="B214" s="1217"/>
      <c r="C214" s="1251"/>
      <c r="D214" s="1206"/>
      <c r="E214" s="1249"/>
      <c r="F214" s="1219"/>
      <c r="G214" s="1213"/>
      <c r="H214" s="1212"/>
      <c r="I214" s="95"/>
      <c r="J214" s="154"/>
      <c r="K214" s="229" t="s">
        <v>23</v>
      </c>
      <c r="L214" s="219"/>
      <c r="M214" s="101"/>
      <c r="N214" s="101"/>
      <c r="O214" s="228">
        <f t="shared" ref="O214:W214" si="43">SUM(O206:O213)</f>
        <v>109774500</v>
      </c>
      <c r="P214" s="228">
        <f t="shared" si="43"/>
        <v>0</v>
      </c>
      <c r="Q214" s="228">
        <f t="shared" si="43"/>
        <v>108262422</v>
      </c>
      <c r="R214" s="228">
        <f t="shared" si="43"/>
        <v>0</v>
      </c>
      <c r="S214" s="228">
        <f t="shared" si="43"/>
        <v>0</v>
      </c>
      <c r="T214" s="228">
        <f t="shared" si="43"/>
        <v>0</v>
      </c>
      <c r="U214" s="228">
        <f t="shared" si="43"/>
        <v>0</v>
      </c>
      <c r="V214" s="228">
        <f t="shared" si="43"/>
        <v>0</v>
      </c>
      <c r="W214" s="228">
        <f t="shared" si="43"/>
        <v>109774500</v>
      </c>
      <c r="X214" s="227">
        <f>SUM(X206:X212)</f>
        <v>75994422</v>
      </c>
      <c r="Y214" s="227">
        <f>SUM(Y206:Y212)</f>
        <v>0</v>
      </c>
      <c r="Z214" s="88">
        <f t="shared" ref="Z214:Z262" si="44">+X214+Y214</f>
        <v>75994422</v>
      </c>
      <c r="AA214" s="78"/>
      <c r="AB214" s="78"/>
      <c r="AC214" s="226"/>
      <c r="AD214" s="79">
        <f>+Z214/W214</f>
        <v>0.69227755079731634</v>
      </c>
      <c r="AE214" s="78"/>
      <c r="AF214" s="218">
        <f>SUM(AF206:AF212)</f>
        <v>0</v>
      </c>
      <c r="AG214" s="217">
        <f>SUM(AG206:AG212)</f>
        <v>0</v>
      </c>
      <c r="AH214" s="3"/>
      <c r="AI214" s="139"/>
    </row>
    <row r="215" spans="2:35" s="138" customFormat="1" ht="33.75" customHeight="1" x14ac:dyDescent="0.25">
      <c r="B215" s="1217"/>
      <c r="C215" s="1251"/>
      <c r="D215" s="1206"/>
      <c r="E215" s="1247" t="str">
        <f>+E206</f>
        <v>Realizar una estrategia de Comunicación, Socialización y divulgación de los resultados de las investigaciones y sistematizaciones realizadas por el IDEP</v>
      </c>
      <c r="F215" s="1206" t="str">
        <f>+F206</f>
        <v>Porcentaje de avance 
de la estrategia de comunicación</v>
      </c>
      <c r="G215" s="1211" t="s">
        <v>123</v>
      </c>
      <c r="H215" s="1212"/>
      <c r="I215" s="95" t="s">
        <v>28</v>
      </c>
      <c r="J215" s="95">
        <v>220</v>
      </c>
      <c r="K215" s="225" t="s">
        <v>122</v>
      </c>
      <c r="L215" s="224" t="s">
        <v>121</v>
      </c>
      <c r="M215" s="95">
        <v>10</v>
      </c>
      <c r="N215" s="95" t="s">
        <v>120</v>
      </c>
      <c r="O215" s="94">
        <v>51000000</v>
      </c>
      <c r="P215" s="131"/>
      <c r="Q215" s="93">
        <f>+O215+P215</f>
        <v>51000000</v>
      </c>
      <c r="R215" s="182"/>
      <c r="S215" s="182"/>
      <c r="T215" s="182"/>
      <c r="U215" s="182"/>
      <c r="V215" s="92"/>
      <c r="W215" s="91">
        <f>+Q215+V215</f>
        <v>51000000</v>
      </c>
      <c r="X215" s="150">
        <v>51000000</v>
      </c>
      <c r="Y215" s="148"/>
      <c r="Z215" s="88">
        <f t="shared" si="44"/>
        <v>51000000</v>
      </c>
      <c r="AA215" s="106">
        <v>41348</v>
      </c>
      <c r="AB215" s="105">
        <v>25</v>
      </c>
      <c r="AC215" s="104" t="s">
        <v>119</v>
      </c>
      <c r="AD215" s="220"/>
      <c r="AE215" s="105"/>
      <c r="AF215" s="105"/>
      <c r="AG215" s="146"/>
      <c r="AH215" s="3">
        <f>+AI215/Z215</f>
        <v>0.11372549019607843</v>
      </c>
      <c r="AI215" s="139">
        <v>5800000</v>
      </c>
    </row>
    <row r="216" spans="2:35" s="138" customFormat="1" ht="51" x14ac:dyDescent="0.25">
      <c r="B216" s="1217"/>
      <c r="C216" s="1251"/>
      <c r="D216" s="1206"/>
      <c r="E216" s="1247"/>
      <c r="F216" s="1206"/>
      <c r="G216" s="1212"/>
      <c r="H216" s="1212"/>
      <c r="I216" s="95"/>
      <c r="J216" s="95">
        <v>221</v>
      </c>
      <c r="K216" s="167" t="s">
        <v>118</v>
      </c>
      <c r="L216" s="223" t="s">
        <v>47</v>
      </c>
      <c r="M216" s="95">
        <v>10</v>
      </c>
      <c r="N216" s="95" t="s">
        <v>117</v>
      </c>
      <c r="O216" s="94">
        <f>80000000-39850000+283114-37138500-3294614</f>
        <v>0</v>
      </c>
      <c r="P216" s="131"/>
      <c r="Q216" s="93">
        <f>+O216+P216</f>
        <v>0</v>
      </c>
      <c r="R216" s="182"/>
      <c r="S216" s="182"/>
      <c r="T216" s="182"/>
      <c r="U216" s="182"/>
      <c r="V216" s="92"/>
      <c r="W216" s="91">
        <f>+Q216+V216</f>
        <v>0</v>
      </c>
      <c r="X216" s="150"/>
      <c r="Y216" s="148"/>
      <c r="Z216" s="88">
        <f t="shared" si="44"/>
        <v>0</v>
      </c>
      <c r="AA216" s="105"/>
      <c r="AB216" s="105"/>
      <c r="AC216" s="105"/>
      <c r="AD216" s="220"/>
      <c r="AE216" s="105"/>
      <c r="AF216" s="105"/>
      <c r="AG216" s="146"/>
      <c r="AH216" s="3"/>
      <c r="AI216" s="139"/>
    </row>
    <row r="217" spans="2:35" s="138" customFormat="1" ht="46.5" customHeight="1" x14ac:dyDescent="0.25">
      <c r="B217" s="1217"/>
      <c r="C217" s="1251"/>
      <c r="D217" s="1206"/>
      <c r="E217" s="1247"/>
      <c r="F217" s="1206"/>
      <c r="G217" s="1212"/>
      <c r="H217" s="1212"/>
      <c r="I217" s="95" t="s">
        <v>28</v>
      </c>
      <c r="J217" s="95"/>
      <c r="K217" s="215" t="s">
        <v>116</v>
      </c>
      <c r="L217" s="223" t="s">
        <v>59</v>
      </c>
      <c r="M217" s="95">
        <v>9</v>
      </c>
      <c r="N217" s="95" t="s">
        <v>115</v>
      </c>
      <c r="O217" s="94">
        <v>37138500</v>
      </c>
      <c r="P217" s="131"/>
      <c r="Q217" s="93"/>
      <c r="R217" s="182"/>
      <c r="S217" s="182"/>
      <c r="T217" s="182"/>
      <c r="U217" s="182"/>
      <c r="V217" s="92"/>
      <c r="W217" s="91">
        <f>+O217+R217</f>
        <v>37138500</v>
      </c>
      <c r="X217" s="150">
        <v>37138500</v>
      </c>
      <c r="Y217" s="150"/>
      <c r="Z217" s="88">
        <f t="shared" si="44"/>
        <v>37138500</v>
      </c>
      <c r="AA217" s="106">
        <v>41534</v>
      </c>
      <c r="AB217" s="105">
        <v>107</v>
      </c>
      <c r="AC217" s="105" t="s">
        <v>114</v>
      </c>
      <c r="AD217" s="220"/>
      <c r="AE217" s="105"/>
      <c r="AF217" s="105"/>
      <c r="AG217" s="146"/>
      <c r="AH217" s="3">
        <f>+AI217/Z217</f>
        <v>0.77777777777777779</v>
      </c>
      <c r="AI217" s="139">
        <v>28885500</v>
      </c>
    </row>
    <row r="218" spans="2:35" s="138" customFormat="1" ht="57" customHeight="1" x14ac:dyDescent="0.25">
      <c r="B218" s="1217"/>
      <c r="C218" s="1251"/>
      <c r="D218" s="1206"/>
      <c r="E218" s="1247"/>
      <c r="F218" s="1206"/>
      <c r="G218" s="1212"/>
      <c r="H218" s="1212"/>
      <c r="I218" s="95"/>
      <c r="J218" s="95">
        <v>332</v>
      </c>
      <c r="K218" s="222" t="s">
        <v>113</v>
      </c>
      <c r="L218" s="121"/>
      <c r="M218" s="121"/>
      <c r="N218" s="121"/>
      <c r="O218" s="116">
        <v>39850000</v>
      </c>
      <c r="P218" s="116"/>
      <c r="Q218" s="115"/>
      <c r="R218" s="115"/>
      <c r="S218" s="115"/>
      <c r="T218" s="115"/>
      <c r="U218" s="115"/>
      <c r="V218" s="114"/>
      <c r="W218" s="109">
        <f>+O218+R218</f>
        <v>39850000</v>
      </c>
      <c r="X218" s="221">
        <v>39850000</v>
      </c>
      <c r="Y218" s="150"/>
      <c r="Z218" s="88">
        <f t="shared" si="44"/>
        <v>39850000</v>
      </c>
      <c r="AA218" s="106">
        <v>41593</v>
      </c>
      <c r="AB218" s="105">
        <v>125</v>
      </c>
      <c r="AC218" s="105" t="s">
        <v>112</v>
      </c>
      <c r="AD218" s="220"/>
      <c r="AE218" s="105"/>
      <c r="AF218" s="105"/>
      <c r="AG218" s="146"/>
      <c r="AH218" s="3">
        <f>+AI218/Z218</f>
        <v>0</v>
      </c>
      <c r="AI218" s="139">
        <v>0</v>
      </c>
    </row>
    <row r="219" spans="2:35" s="138" customFormat="1" ht="18.75" customHeight="1" x14ac:dyDescent="0.25">
      <c r="B219" s="1217"/>
      <c r="C219" s="1251"/>
      <c r="D219" s="1206"/>
      <c r="E219" s="1247"/>
      <c r="F219" s="1206"/>
      <c r="G219" s="1213"/>
      <c r="H219" s="1212"/>
      <c r="I219" s="154"/>
      <c r="J219" s="154"/>
      <c r="K219" s="196" t="s">
        <v>23</v>
      </c>
      <c r="L219" s="219"/>
      <c r="M219" s="101"/>
      <c r="N219" s="101"/>
      <c r="O219" s="128">
        <f t="shared" ref="O219:Y219" si="45">SUM(O215:O218)</f>
        <v>127988500</v>
      </c>
      <c r="P219" s="128">
        <f t="shared" si="45"/>
        <v>0</v>
      </c>
      <c r="Q219" s="128">
        <f t="shared" si="45"/>
        <v>51000000</v>
      </c>
      <c r="R219" s="128">
        <f t="shared" si="45"/>
        <v>0</v>
      </c>
      <c r="S219" s="128">
        <f t="shared" si="45"/>
        <v>0</v>
      </c>
      <c r="T219" s="128">
        <f t="shared" si="45"/>
        <v>0</v>
      </c>
      <c r="U219" s="128">
        <f t="shared" si="45"/>
        <v>0</v>
      </c>
      <c r="V219" s="128">
        <f t="shared" si="45"/>
        <v>0</v>
      </c>
      <c r="W219" s="128">
        <f t="shared" si="45"/>
        <v>127988500</v>
      </c>
      <c r="X219" s="81">
        <f t="shared" si="45"/>
        <v>127988500</v>
      </c>
      <c r="Y219" s="81">
        <f t="shared" si="45"/>
        <v>0</v>
      </c>
      <c r="Z219" s="88">
        <f t="shared" si="44"/>
        <v>127988500</v>
      </c>
      <c r="AA219" s="78"/>
      <c r="AB219" s="78"/>
      <c r="AC219" s="78"/>
      <c r="AD219" s="79">
        <f>+Z219/W219</f>
        <v>1</v>
      </c>
      <c r="AE219" s="78"/>
      <c r="AF219" s="218">
        <f>SUM(AF215:AF218)</f>
        <v>0</v>
      </c>
      <c r="AG219" s="217">
        <f>SUM(AG215:AG218)</f>
        <v>0</v>
      </c>
      <c r="AH219" s="3"/>
      <c r="AI219" s="139"/>
    </row>
    <row r="220" spans="2:35" s="138" customFormat="1" ht="39.75" customHeight="1" x14ac:dyDescent="0.2">
      <c r="B220" s="1217"/>
      <c r="C220" s="1251"/>
      <c r="D220" s="1206"/>
      <c r="E220" s="1247"/>
      <c r="F220" s="1206"/>
      <c r="G220" s="1211" t="s">
        <v>111</v>
      </c>
      <c r="H220" s="1212"/>
      <c r="I220" s="95" t="s">
        <v>28</v>
      </c>
      <c r="J220" s="95">
        <v>216</v>
      </c>
      <c r="K220" s="216" t="s">
        <v>110</v>
      </c>
      <c r="L220" s="213" t="s">
        <v>109</v>
      </c>
      <c r="M220" s="213">
        <v>11</v>
      </c>
      <c r="N220" s="212" t="s">
        <v>55</v>
      </c>
      <c r="O220" s="211">
        <f>58360000+500</f>
        <v>58360500</v>
      </c>
      <c r="P220" s="131"/>
      <c r="Q220" s="93">
        <f>+O220+P220</f>
        <v>58360500</v>
      </c>
      <c r="R220" s="182"/>
      <c r="S220" s="182"/>
      <c r="T220" s="182"/>
      <c r="U220" s="182"/>
      <c r="V220" s="92"/>
      <c r="W220" s="91">
        <f>+Q220+V220</f>
        <v>58360500</v>
      </c>
      <c r="X220" s="150">
        <v>58360500</v>
      </c>
      <c r="Y220" s="148"/>
      <c r="Z220" s="88">
        <f t="shared" si="44"/>
        <v>58360500</v>
      </c>
      <c r="AA220" s="106">
        <v>41341</v>
      </c>
      <c r="AB220" s="105">
        <v>15</v>
      </c>
      <c r="AC220" s="104" t="s">
        <v>108</v>
      </c>
      <c r="AD220" s="147"/>
      <c r="AE220" s="105"/>
      <c r="AF220" s="105"/>
      <c r="AG220" s="146"/>
      <c r="AH220" s="3">
        <f>+AI220/Z220</f>
        <v>0.18181818181818182</v>
      </c>
      <c r="AI220" s="139">
        <v>10611000</v>
      </c>
    </row>
    <row r="221" spans="2:35" s="138" customFormat="1" ht="33" customHeight="1" x14ac:dyDescent="0.2">
      <c r="B221" s="1217"/>
      <c r="C221" s="1251"/>
      <c r="D221" s="1206"/>
      <c r="E221" s="1247"/>
      <c r="F221" s="1206"/>
      <c r="G221" s="1212"/>
      <c r="H221" s="1212"/>
      <c r="I221" s="95" t="s">
        <v>28</v>
      </c>
      <c r="J221" s="95">
        <v>217</v>
      </c>
      <c r="K221" s="215" t="s">
        <v>107</v>
      </c>
      <c r="L221" s="214" t="s">
        <v>104</v>
      </c>
      <c r="M221" s="213">
        <v>11</v>
      </c>
      <c r="N221" s="212" t="s">
        <v>55</v>
      </c>
      <c r="O221" s="211">
        <f>45391500-500-6484000</f>
        <v>38907000</v>
      </c>
      <c r="P221" s="131"/>
      <c r="Q221" s="93">
        <f>+O221+P221</f>
        <v>38907000</v>
      </c>
      <c r="R221" s="182"/>
      <c r="S221" s="182"/>
      <c r="T221" s="182"/>
      <c r="U221" s="182"/>
      <c r="V221" s="92"/>
      <c r="W221" s="91">
        <f>+Q221+V221</f>
        <v>38907000</v>
      </c>
      <c r="X221" s="150">
        <v>38907000</v>
      </c>
      <c r="Y221" s="148"/>
      <c r="Z221" s="88">
        <f t="shared" si="44"/>
        <v>38907000</v>
      </c>
      <c r="AA221" s="106">
        <v>41432</v>
      </c>
      <c r="AB221" s="105">
        <v>57</v>
      </c>
      <c r="AC221" s="104" t="s">
        <v>106</v>
      </c>
      <c r="AD221" s="147"/>
      <c r="AE221" s="105"/>
      <c r="AF221" s="105"/>
      <c r="AG221" s="146"/>
      <c r="AH221" s="3">
        <f>+AI221/Z221</f>
        <v>0.54545454545454541</v>
      </c>
      <c r="AI221" s="139">
        <v>21222000</v>
      </c>
    </row>
    <row r="222" spans="2:35" s="138" customFormat="1" ht="49.5" customHeight="1" x14ac:dyDescent="0.2">
      <c r="B222" s="1217"/>
      <c r="C222" s="1251"/>
      <c r="D222" s="1206"/>
      <c r="E222" s="1247"/>
      <c r="F222" s="1206"/>
      <c r="G222" s="1212"/>
      <c r="H222" s="1212"/>
      <c r="I222" s="95" t="s">
        <v>28</v>
      </c>
      <c r="J222" s="95">
        <v>218</v>
      </c>
      <c r="K222" s="215" t="s">
        <v>105</v>
      </c>
      <c r="L222" s="214" t="s">
        <v>104</v>
      </c>
      <c r="M222" s="213">
        <v>10</v>
      </c>
      <c r="N222" s="212" t="s">
        <v>55</v>
      </c>
      <c r="O222" s="211">
        <f>29475000+5895000</f>
        <v>35370000</v>
      </c>
      <c r="P222" s="131"/>
      <c r="Q222" s="93">
        <f>+O222+P222</f>
        <v>35370000</v>
      </c>
      <c r="R222" s="182"/>
      <c r="S222" s="182"/>
      <c r="T222" s="182"/>
      <c r="U222" s="182"/>
      <c r="V222" s="92"/>
      <c r="W222" s="91">
        <f>+Q222+V222</f>
        <v>35370000</v>
      </c>
      <c r="X222" s="150">
        <v>35370000</v>
      </c>
      <c r="Y222" s="148"/>
      <c r="Z222" s="88">
        <f t="shared" si="44"/>
        <v>35370000</v>
      </c>
      <c r="AA222" s="106">
        <v>41430</v>
      </c>
      <c r="AB222" s="105">
        <v>55</v>
      </c>
      <c r="AC222" s="105" t="s">
        <v>103</v>
      </c>
      <c r="AD222" s="147"/>
      <c r="AE222" s="105"/>
      <c r="AF222" s="105"/>
      <c r="AG222" s="146"/>
      <c r="AH222" s="3">
        <f>+AI222/Z222</f>
        <v>0.4</v>
      </c>
      <c r="AI222" s="139">
        <v>14148000</v>
      </c>
    </row>
    <row r="223" spans="2:35" s="138" customFormat="1" ht="55.5" customHeight="1" x14ac:dyDescent="0.2">
      <c r="B223" s="1217"/>
      <c r="C223" s="1251"/>
      <c r="D223" s="1206"/>
      <c r="E223" s="1247"/>
      <c r="F223" s="1206"/>
      <c r="G223" s="1212"/>
      <c r="H223" s="1212"/>
      <c r="I223" s="95" t="s">
        <v>28</v>
      </c>
      <c r="J223" s="95">
        <v>311</v>
      </c>
      <c r="K223" s="215" t="s">
        <v>102</v>
      </c>
      <c r="L223" s="214" t="s">
        <v>101</v>
      </c>
      <c r="M223" s="213">
        <v>1</v>
      </c>
      <c r="N223" s="212" t="s">
        <v>55</v>
      </c>
      <c r="O223" s="211">
        <v>9999896</v>
      </c>
      <c r="P223" s="131"/>
      <c r="Q223" s="93"/>
      <c r="R223" s="182"/>
      <c r="S223" s="182"/>
      <c r="T223" s="182"/>
      <c r="U223" s="182"/>
      <c r="V223" s="92"/>
      <c r="W223" s="91">
        <f>+O223+R223</f>
        <v>9999896</v>
      </c>
      <c r="X223" s="150">
        <v>9999896</v>
      </c>
      <c r="Y223" s="148"/>
      <c r="Z223" s="88">
        <f t="shared" si="44"/>
        <v>9999896</v>
      </c>
      <c r="AA223" s="106">
        <v>41516</v>
      </c>
      <c r="AB223" s="105">
        <v>90</v>
      </c>
      <c r="AC223" s="105" t="s">
        <v>100</v>
      </c>
      <c r="AD223" s="147"/>
      <c r="AE223" s="105"/>
      <c r="AF223" s="105"/>
      <c r="AG223" s="146"/>
      <c r="AH223" s="3">
        <f>+AI223/Z223</f>
        <v>0</v>
      </c>
      <c r="AI223" s="139">
        <v>0</v>
      </c>
    </row>
    <row r="224" spans="2:35" s="138" customFormat="1" ht="40.5" customHeight="1" x14ac:dyDescent="0.2">
      <c r="B224" s="1217"/>
      <c r="C224" s="1251"/>
      <c r="D224" s="1206"/>
      <c r="E224" s="1247"/>
      <c r="F224" s="1206"/>
      <c r="G224" s="1212"/>
      <c r="H224" s="1212"/>
      <c r="I224" s="154"/>
      <c r="J224" s="95"/>
      <c r="K224" s="210" t="s">
        <v>99</v>
      </c>
      <c r="L224" s="209"/>
      <c r="M224" s="208"/>
      <c r="N224" s="207"/>
      <c r="O224" s="206">
        <f>10000000-9999896</f>
        <v>104</v>
      </c>
      <c r="P224" s="205"/>
      <c r="Q224" s="205"/>
      <c r="R224" s="205"/>
      <c r="S224" s="205"/>
      <c r="T224" s="205"/>
      <c r="U224" s="205"/>
      <c r="V224" s="204"/>
      <c r="W224" s="203">
        <f>+O224+R224</f>
        <v>104</v>
      </c>
      <c r="X224" s="150"/>
      <c r="Y224" s="148"/>
      <c r="Z224" s="88">
        <f t="shared" si="44"/>
        <v>0</v>
      </c>
      <c r="AA224" s="106"/>
      <c r="AB224" s="105"/>
      <c r="AC224" s="105"/>
      <c r="AD224" s="147"/>
      <c r="AE224" s="105"/>
      <c r="AF224" s="105"/>
      <c r="AG224" s="146"/>
      <c r="AH224" s="3"/>
      <c r="AI224" s="139"/>
    </row>
    <row r="225" spans="2:35" ht="63" customHeight="1" x14ac:dyDescent="0.2">
      <c r="B225" s="1217"/>
      <c r="C225" s="1251"/>
      <c r="D225" s="1206"/>
      <c r="E225" s="1247"/>
      <c r="F225" s="1206"/>
      <c r="G225" s="1212"/>
      <c r="H225" s="1212"/>
      <c r="I225" s="95"/>
      <c r="J225" s="95">
        <v>219</v>
      </c>
      <c r="K225" s="202" t="s">
        <v>98</v>
      </c>
      <c r="L225" s="201" t="s">
        <v>97</v>
      </c>
      <c r="M225" s="200">
        <v>9</v>
      </c>
      <c r="N225" s="199" t="s">
        <v>55</v>
      </c>
      <c r="O225" s="198">
        <f>56000000-9411000-11974386</f>
        <v>34614614</v>
      </c>
      <c r="P225" s="116"/>
      <c r="Q225" s="115">
        <f>+O225+P225</f>
        <v>34614614</v>
      </c>
      <c r="R225" s="115"/>
      <c r="S225" s="115"/>
      <c r="T225" s="115"/>
      <c r="U225" s="115"/>
      <c r="V225" s="114">
        <f>+R225+U225</f>
        <v>0</v>
      </c>
      <c r="W225" s="109">
        <f>+Q225+V225</f>
        <v>34614614</v>
      </c>
      <c r="X225" s="137"/>
      <c r="Y225" s="136"/>
      <c r="Z225" s="88">
        <f t="shared" si="44"/>
        <v>0</v>
      </c>
      <c r="AA225" s="50"/>
      <c r="AB225" s="50"/>
      <c r="AC225" s="50"/>
      <c r="AD225" s="103"/>
      <c r="AE225" s="50"/>
      <c r="AF225" s="50"/>
      <c r="AG225" s="49"/>
    </row>
    <row r="226" spans="2:35" ht="23.25" customHeight="1" x14ac:dyDescent="0.2">
      <c r="B226" s="1217"/>
      <c r="C226" s="1251"/>
      <c r="D226" s="1206"/>
      <c r="E226" s="1247"/>
      <c r="F226" s="1206"/>
      <c r="G226" s="1213"/>
      <c r="H226" s="1213"/>
      <c r="I226" s="197"/>
      <c r="J226" s="197"/>
      <c r="K226" s="196" t="s">
        <v>23</v>
      </c>
      <c r="L226" s="195"/>
      <c r="M226" s="195"/>
      <c r="N226" s="194"/>
      <c r="O226" s="193">
        <f t="shared" ref="O226:Y226" si="46">SUM(O220:O225)</f>
        <v>177252114</v>
      </c>
      <c r="P226" s="193">
        <f t="shared" si="46"/>
        <v>0</v>
      </c>
      <c r="Q226" s="193">
        <f t="shared" si="46"/>
        <v>167252114</v>
      </c>
      <c r="R226" s="193">
        <f t="shared" si="46"/>
        <v>0</v>
      </c>
      <c r="S226" s="193">
        <f t="shared" si="46"/>
        <v>0</v>
      </c>
      <c r="T226" s="193">
        <f t="shared" si="46"/>
        <v>0</v>
      </c>
      <c r="U226" s="193">
        <f t="shared" si="46"/>
        <v>0</v>
      </c>
      <c r="V226" s="193">
        <f t="shared" si="46"/>
        <v>0</v>
      </c>
      <c r="W226" s="193">
        <f t="shared" si="46"/>
        <v>177252114</v>
      </c>
      <c r="X226" s="81">
        <f t="shared" si="46"/>
        <v>142637396</v>
      </c>
      <c r="Y226" s="81">
        <f t="shared" si="46"/>
        <v>0</v>
      </c>
      <c r="Z226" s="88">
        <f t="shared" si="44"/>
        <v>142637396</v>
      </c>
      <c r="AA226" s="78"/>
      <c r="AB226" s="78"/>
      <c r="AC226" s="78"/>
      <c r="AD226" s="79">
        <f>+Z226/W226</f>
        <v>0.80471478043979772</v>
      </c>
      <c r="AE226" s="78"/>
      <c r="AF226" s="192">
        <f>SUM(AF220:AF225)</f>
        <v>0</v>
      </c>
      <c r="AG226" s="191">
        <f>SUM(AG220:AG225)</f>
        <v>0</v>
      </c>
    </row>
    <row r="227" spans="2:35" ht="34.5" customHeight="1" x14ac:dyDescent="0.25">
      <c r="B227" s="1217"/>
      <c r="C227" s="1252"/>
      <c r="D227" s="1207"/>
      <c r="E227" s="1248"/>
      <c r="F227" s="1207"/>
      <c r="G227" s="1262" t="s">
        <v>96</v>
      </c>
      <c r="H227" s="1263"/>
      <c r="I227" s="1263"/>
      <c r="J227" s="1263"/>
      <c r="K227" s="1263"/>
      <c r="L227" s="1263"/>
      <c r="M227" s="1263"/>
      <c r="N227" s="1264"/>
      <c r="O227" s="91">
        <f>+O214+O219+O226</f>
        <v>415015114</v>
      </c>
      <c r="P227" s="91"/>
      <c r="Q227" s="91">
        <f>+O227+P227</f>
        <v>415015114</v>
      </c>
      <c r="R227" s="91"/>
      <c r="S227" s="91"/>
      <c r="T227" s="91"/>
      <c r="U227" s="91"/>
      <c r="V227" s="91">
        <f>+S227+U227</f>
        <v>0</v>
      </c>
      <c r="W227" s="91">
        <f>+O227+R227</f>
        <v>415015114</v>
      </c>
      <c r="X227" s="190">
        <f>+X226+X219+X214</f>
        <v>346620318</v>
      </c>
      <c r="Y227" s="190">
        <f>+Y214+Y219+Y226</f>
        <v>0</v>
      </c>
      <c r="Z227" s="88">
        <f t="shared" si="44"/>
        <v>346620318</v>
      </c>
      <c r="AA227" s="71"/>
      <c r="AB227" s="71"/>
      <c r="AC227" s="71"/>
      <c r="AD227" s="70">
        <f>+Z227/W227</f>
        <v>0.83519926457425353</v>
      </c>
      <c r="AE227" s="71"/>
      <c r="AF227" s="189">
        <f>+AF214+AF219+AF226</f>
        <v>0</v>
      </c>
      <c r="AG227" s="188">
        <f>+AG214+AG219+AG226</f>
        <v>0</v>
      </c>
    </row>
    <row r="228" spans="2:35" ht="24" customHeight="1" x14ac:dyDescent="0.25">
      <c r="B228" s="187"/>
      <c r="C228" s="1230" t="s">
        <v>95</v>
      </c>
      <c r="D228" s="1231"/>
      <c r="E228" s="1231"/>
      <c r="F228" s="1231"/>
      <c r="G228" s="1231"/>
      <c r="H228" s="1231"/>
      <c r="I228" s="1231"/>
      <c r="J228" s="1231"/>
      <c r="K228" s="1231"/>
      <c r="L228" s="1231"/>
      <c r="M228" s="1231"/>
      <c r="N228" s="1232"/>
      <c r="O228" s="124">
        <f>+O227</f>
        <v>415015114</v>
      </c>
      <c r="P228" s="124" t="e">
        <f>+#REF!</f>
        <v>#REF!</v>
      </c>
      <c r="Q228" s="124" t="e">
        <f>+O228+P228</f>
        <v>#REF!</v>
      </c>
      <c r="R228" s="124">
        <f>+R227</f>
        <v>0</v>
      </c>
      <c r="S228" s="124">
        <f>+S227</f>
        <v>0</v>
      </c>
      <c r="T228" s="124"/>
      <c r="U228" s="124" t="e">
        <f>+#REF!</f>
        <v>#REF!</v>
      </c>
      <c r="V228" s="125" t="e">
        <f>+R228+U228</f>
        <v>#REF!</v>
      </c>
      <c r="W228" s="124">
        <f>+O228+R228</f>
        <v>415015114</v>
      </c>
      <c r="X228" s="186">
        <f>+X227</f>
        <v>346620318</v>
      </c>
      <c r="Y228" s="186">
        <f>+Y227</f>
        <v>0</v>
      </c>
      <c r="Z228" s="88">
        <f t="shared" si="44"/>
        <v>346620318</v>
      </c>
      <c r="AA228" s="60"/>
      <c r="AB228" s="60"/>
      <c r="AC228" s="60"/>
      <c r="AD228" s="59">
        <f>+Z228/W228</f>
        <v>0.83519926457425353</v>
      </c>
      <c r="AE228" s="185">
        <f>+Z228+Z205+Z160+Z98</f>
        <v>5130823756</v>
      </c>
      <c r="AF228" s="184">
        <f>+AF227</f>
        <v>0</v>
      </c>
      <c r="AG228" s="183">
        <f>+AG227</f>
        <v>0</v>
      </c>
    </row>
    <row r="229" spans="2:35" s="138" customFormat="1" ht="33.75" customHeight="1" x14ac:dyDescent="0.25">
      <c r="B229" s="1293" t="s">
        <v>94</v>
      </c>
      <c r="C229" s="1294" t="s">
        <v>93</v>
      </c>
      <c r="D229" s="1219" t="s">
        <v>9</v>
      </c>
      <c r="E229" s="1229" t="s">
        <v>92</v>
      </c>
      <c r="F229" s="1219" t="s">
        <v>91</v>
      </c>
      <c r="G229" s="1259" t="s">
        <v>90</v>
      </c>
      <c r="H229" s="1211" t="s">
        <v>49</v>
      </c>
      <c r="I229" s="95" t="s">
        <v>28</v>
      </c>
      <c r="J229" s="95">
        <v>113</v>
      </c>
      <c r="K229" s="96" t="s">
        <v>88</v>
      </c>
      <c r="L229" s="97" t="s">
        <v>74</v>
      </c>
      <c r="M229" s="97">
        <v>12</v>
      </c>
      <c r="N229" s="97" t="s">
        <v>55</v>
      </c>
      <c r="O229" s="94">
        <f>84888000-30182400</f>
        <v>54705600</v>
      </c>
      <c r="P229" s="94"/>
      <c r="Q229" s="94">
        <f>+O229+P229</f>
        <v>54705600</v>
      </c>
      <c r="R229" s="93"/>
      <c r="S229" s="93"/>
      <c r="T229" s="93"/>
      <c r="U229" s="93"/>
      <c r="V229" s="92">
        <f>+R229+S229+U229</f>
        <v>0</v>
      </c>
      <c r="W229" s="91">
        <f>+Q229+V229</f>
        <v>54705600</v>
      </c>
      <c r="X229" s="150">
        <v>54705600</v>
      </c>
      <c r="Y229" s="148"/>
      <c r="Z229" s="88">
        <f t="shared" si="44"/>
        <v>54705600</v>
      </c>
      <c r="AA229" s="168">
        <v>41310</v>
      </c>
      <c r="AB229" s="149">
        <v>2</v>
      </c>
      <c r="AC229" s="148" t="s">
        <v>89</v>
      </c>
      <c r="AD229" s="147"/>
      <c r="AE229" s="105"/>
      <c r="AF229" s="105"/>
      <c r="AG229" s="146"/>
      <c r="AH229" s="3">
        <f>+AI229/Z229</f>
        <v>0</v>
      </c>
      <c r="AI229" s="139">
        <v>0</v>
      </c>
    </row>
    <row r="230" spans="2:35" s="138" customFormat="1" ht="58.5" customHeight="1" x14ac:dyDescent="0.25">
      <c r="B230" s="1222"/>
      <c r="C230" s="1294"/>
      <c r="D230" s="1219"/>
      <c r="E230" s="1229"/>
      <c r="F230" s="1219"/>
      <c r="G230" s="1260"/>
      <c r="H230" s="1212"/>
      <c r="I230" s="95"/>
      <c r="J230" s="95"/>
      <c r="K230" s="167" t="s">
        <v>88</v>
      </c>
      <c r="L230" s="97"/>
      <c r="M230" s="97"/>
      <c r="N230" s="97"/>
      <c r="O230" s="131">
        <v>35370000</v>
      </c>
      <c r="P230" s="131"/>
      <c r="Q230" s="131"/>
      <c r="R230" s="182"/>
      <c r="S230" s="182"/>
      <c r="T230" s="182"/>
      <c r="U230" s="182"/>
      <c r="V230" s="181"/>
      <c r="W230" s="180">
        <f>+O230+R230</f>
        <v>35370000</v>
      </c>
      <c r="X230" s="150">
        <v>35370000</v>
      </c>
      <c r="Y230" s="148"/>
      <c r="Z230" s="88">
        <f t="shared" si="44"/>
        <v>35370000</v>
      </c>
      <c r="AA230" s="168">
        <v>41583</v>
      </c>
      <c r="AB230" s="149">
        <v>124</v>
      </c>
      <c r="AC230" s="148" t="s">
        <v>87</v>
      </c>
      <c r="AD230" s="147"/>
      <c r="AE230" s="105"/>
      <c r="AF230" s="105"/>
      <c r="AG230" s="146"/>
      <c r="AH230" s="3">
        <f>+AI230/Z230</f>
        <v>0.8</v>
      </c>
      <c r="AI230" s="139">
        <v>28296000</v>
      </c>
    </row>
    <row r="231" spans="2:35" s="138" customFormat="1" ht="47.25" customHeight="1" x14ac:dyDescent="0.25">
      <c r="B231" s="1222"/>
      <c r="C231" s="1294"/>
      <c r="D231" s="1219"/>
      <c r="E231" s="1229"/>
      <c r="F231" s="1219"/>
      <c r="G231" s="1260"/>
      <c r="H231" s="1212"/>
      <c r="I231" s="95"/>
      <c r="J231" s="95"/>
      <c r="K231" s="165" t="s">
        <v>86</v>
      </c>
      <c r="L231" s="179"/>
      <c r="M231" s="179"/>
      <c r="N231" s="179"/>
      <c r="O231" s="178">
        <v>3563897</v>
      </c>
      <c r="P231" s="178"/>
      <c r="Q231" s="178"/>
      <c r="R231" s="162"/>
      <c r="S231" s="162"/>
      <c r="T231" s="162"/>
      <c r="U231" s="162"/>
      <c r="V231" s="161"/>
      <c r="W231" s="160">
        <f>+O231+R231</f>
        <v>3563897</v>
      </c>
      <c r="X231" s="150"/>
      <c r="Y231" s="148"/>
      <c r="Z231" s="88">
        <f t="shared" si="44"/>
        <v>0</v>
      </c>
      <c r="AA231" s="168"/>
      <c r="AB231" s="149"/>
      <c r="AC231" s="148"/>
      <c r="AD231" s="147"/>
      <c r="AE231" s="105"/>
      <c r="AF231" s="105"/>
      <c r="AG231" s="146"/>
      <c r="AH231" s="3"/>
      <c r="AI231" s="139"/>
    </row>
    <row r="232" spans="2:35" s="138" customFormat="1" ht="46.5" customHeight="1" x14ac:dyDescent="0.25">
      <c r="B232" s="1222"/>
      <c r="C232" s="1294"/>
      <c r="D232" s="1219"/>
      <c r="E232" s="1229"/>
      <c r="F232" s="1219"/>
      <c r="G232" s="1260"/>
      <c r="H232" s="1212"/>
      <c r="I232" s="95" t="s">
        <v>28</v>
      </c>
      <c r="J232" s="95">
        <v>114</v>
      </c>
      <c r="K232" s="167" t="s">
        <v>85</v>
      </c>
      <c r="L232" s="97" t="s">
        <v>74</v>
      </c>
      <c r="M232" s="97">
        <v>12</v>
      </c>
      <c r="N232" s="97" t="s">
        <v>55</v>
      </c>
      <c r="O232" s="94">
        <v>35370000</v>
      </c>
      <c r="P232" s="94"/>
      <c r="Q232" s="94">
        <f t="shared" ref="Q232:Q239" si="47">+O232+P232</f>
        <v>35370000</v>
      </c>
      <c r="R232" s="93"/>
      <c r="S232" s="93"/>
      <c r="T232" s="93"/>
      <c r="U232" s="93"/>
      <c r="V232" s="92"/>
      <c r="W232" s="91">
        <f t="shared" ref="W232:W239" si="48">+Q232+V232</f>
        <v>35370000</v>
      </c>
      <c r="X232" s="150">
        <v>35370000</v>
      </c>
      <c r="Y232" s="148"/>
      <c r="Z232" s="88">
        <f t="shared" si="44"/>
        <v>35370000</v>
      </c>
      <c r="AA232" s="168">
        <v>41325</v>
      </c>
      <c r="AB232" s="149">
        <v>5</v>
      </c>
      <c r="AC232" s="173" t="s">
        <v>84</v>
      </c>
      <c r="AD232" s="147"/>
      <c r="AE232" s="177"/>
      <c r="AF232" s="105"/>
      <c r="AG232" s="146"/>
      <c r="AH232" s="3">
        <f>+AI232/Z232</f>
        <v>0.25</v>
      </c>
      <c r="AI232" s="139">
        <v>8842500</v>
      </c>
    </row>
    <row r="233" spans="2:35" s="138" customFormat="1" ht="84" customHeight="1" x14ac:dyDescent="0.25">
      <c r="B233" s="1222"/>
      <c r="C233" s="1294"/>
      <c r="D233" s="1219"/>
      <c r="E233" s="1229"/>
      <c r="F233" s="1219"/>
      <c r="G233" s="1260"/>
      <c r="H233" s="1212"/>
      <c r="I233" s="95" t="s">
        <v>28</v>
      </c>
      <c r="J233" s="95">
        <v>115</v>
      </c>
      <c r="K233" s="167" t="s">
        <v>83</v>
      </c>
      <c r="L233" s="97" t="s">
        <v>74</v>
      </c>
      <c r="M233" s="97">
        <v>8</v>
      </c>
      <c r="N233" s="97" t="s">
        <v>55</v>
      </c>
      <c r="O233" s="94">
        <f>18864000+2096000</f>
        <v>20960000</v>
      </c>
      <c r="P233" s="94"/>
      <c r="Q233" s="94">
        <f t="shared" si="47"/>
        <v>20960000</v>
      </c>
      <c r="R233" s="93"/>
      <c r="S233" s="93"/>
      <c r="T233" s="93"/>
      <c r="U233" s="93"/>
      <c r="V233" s="92"/>
      <c r="W233" s="91">
        <f t="shared" si="48"/>
        <v>20960000</v>
      </c>
      <c r="X233" s="150">
        <v>20960000</v>
      </c>
      <c r="Y233" s="148"/>
      <c r="Z233" s="88">
        <f t="shared" si="44"/>
        <v>20960000</v>
      </c>
      <c r="AA233" s="168">
        <v>41369</v>
      </c>
      <c r="AB233" s="149">
        <v>37</v>
      </c>
      <c r="AC233" s="148" t="s">
        <v>82</v>
      </c>
      <c r="AD233" s="147"/>
      <c r="AE233" s="105"/>
      <c r="AF233" s="105"/>
      <c r="AG233" s="146"/>
      <c r="AH233" s="3">
        <f>+AI233/Z233</f>
        <v>0.1</v>
      </c>
      <c r="AI233" s="139">
        <v>2096000</v>
      </c>
    </row>
    <row r="234" spans="2:35" s="138" customFormat="1" ht="42.75" customHeight="1" x14ac:dyDescent="0.25">
      <c r="B234" s="1222"/>
      <c r="C234" s="1294"/>
      <c r="D234" s="1219"/>
      <c r="E234" s="1229"/>
      <c r="F234" s="1219"/>
      <c r="G234" s="1260"/>
      <c r="H234" s="1212"/>
      <c r="I234" s="95" t="s">
        <v>28</v>
      </c>
      <c r="J234" s="95">
        <v>116</v>
      </c>
      <c r="K234" s="167" t="s">
        <v>81</v>
      </c>
      <c r="L234" s="97" t="s">
        <v>74</v>
      </c>
      <c r="M234" s="97">
        <v>12</v>
      </c>
      <c r="N234" s="97" t="s">
        <v>55</v>
      </c>
      <c r="O234" s="94">
        <v>42444000</v>
      </c>
      <c r="P234" s="94"/>
      <c r="Q234" s="94">
        <f t="shared" si="47"/>
        <v>42444000</v>
      </c>
      <c r="R234" s="93"/>
      <c r="S234" s="93"/>
      <c r="T234" s="93"/>
      <c r="U234" s="93"/>
      <c r="V234" s="92"/>
      <c r="W234" s="91">
        <f t="shared" si="48"/>
        <v>42444000</v>
      </c>
      <c r="X234" s="150">
        <v>42444000</v>
      </c>
      <c r="Y234" s="148"/>
      <c r="Z234" s="88">
        <f t="shared" si="44"/>
        <v>42444000</v>
      </c>
      <c r="AA234" s="168">
        <v>41316</v>
      </c>
      <c r="AB234" s="149">
        <v>3</v>
      </c>
      <c r="AC234" s="173" t="s">
        <v>80</v>
      </c>
      <c r="AD234" s="147"/>
      <c r="AE234" s="105"/>
      <c r="AF234" s="105"/>
      <c r="AG234" s="146"/>
      <c r="AH234" s="3">
        <f>+AI234/Z234</f>
        <v>0.16666666666666666</v>
      </c>
      <c r="AI234" s="139">
        <v>7074000</v>
      </c>
    </row>
    <row r="235" spans="2:35" s="138" customFormat="1" ht="46.5" customHeight="1" x14ac:dyDescent="0.25">
      <c r="B235" s="1222"/>
      <c r="C235" s="1294"/>
      <c r="D235" s="1219"/>
      <c r="E235" s="1229"/>
      <c r="F235" s="1219"/>
      <c r="G235" s="1260"/>
      <c r="H235" s="1212"/>
      <c r="I235" s="95" t="s">
        <v>28</v>
      </c>
      <c r="J235" s="95">
        <v>117</v>
      </c>
      <c r="K235" s="167" t="s">
        <v>79</v>
      </c>
      <c r="L235" s="97" t="s">
        <v>74</v>
      </c>
      <c r="M235" s="97">
        <v>12</v>
      </c>
      <c r="N235" s="97" t="s">
        <v>55</v>
      </c>
      <c r="O235" s="94">
        <v>56592000</v>
      </c>
      <c r="P235" s="94"/>
      <c r="Q235" s="94">
        <f t="shared" si="47"/>
        <v>56592000</v>
      </c>
      <c r="R235" s="93"/>
      <c r="S235" s="93"/>
      <c r="T235" s="93"/>
      <c r="U235" s="93"/>
      <c r="V235" s="92"/>
      <c r="W235" s="91">
        <f t="shared" si="48"/>
        <v>56592000</v>
      </c>
      <c r="X235" s="150">
        <v>56592000</v>
      </c>
      <c r="Y235" s="148"/>
      <c r="Z235" s="88">
        <f t="shared" si="44"/>
        <v>56592000</v>
      </c>
      <c r="AA235" s="168">
        <v>41306</v>
      </c>
      <c r="AB235" s="149">
        <v>1</v>
      </c>
      <c r="AC235" s="173" t="s">
        <v>78</v>
      </c>
      <c r="AD235" s="172"/>
      <c r="AE235" s="105"/>
      <c r="AF235" s="105"/>
      <c r="AG235" s="146"/>
      <c r="AH235" s="3">
        <f>+AI235/Z235</f>
        <v>0.16666666666666666</v>
      </c>
      <c r="AI235" s="139">
        <v>9432000</v>
      </c>
    </row>
    <row r="236" spans="2:35" s="138" customFormat="1" ht="30" customHeight="1" x14ac:dyDescent="0.25">
      <c r="B236" s="1222"/>
      <c r="C236" s="1294"/>
      <c r="D236" s="1219"/>
      <c r="E236" s="1229"/>
      <c r="F236" s="1219"/>
      <c r="G236" s="1260"/>
      <c r="H236" s="1212"/>
      <c r="I236" s="95" t="s">
        <v>28</v>
      </c>
      <c r="J236" s="95">
        <v>118</v>
      </c>
      <c r="K236" s="176" t="s">
        <v>77</v>
      </c>
      <c r="L236" s="175" t="s">
        <v>74</v>
      </c>
      <c r="M236" s="175">
        <v>11</v>
      </c>
      <c r="N236" s="175" t="s">
        <v>55</v>
      </c>
      <c r="O236" s="94">
        <f>36028000-3016000</f>
        <v>33012000</v>
      </c>
      <c r="P236" s="94"/>
      <c r="Q236" s="94">
        <f t="shared" si="47"/>
        <v>33012000</v>
      </c>
      <c r="R236" s="93"/>
      <c r="S236" s="93"/>
      <c r="T236" s="93"/>
      <c r="U236" s="93"/>
      <c r="V236" s="92"/>
      <c r="W236" s="91">
        <f t="shared" si="48"/>
        <v>33012000</v>
      </c>
      <c r="X236" s="150">
        <v>33012000</v>
      </c>
      <c r="Y236" s="148"/>
      <c r="Z236" s="88">
        <f t="shared" si="44"/>
        <v>33012000</v>
      </c>
      <c r="AA236" s="168">
        <v>41319</v>
      </c>
      <c r="AB236" s="149"/>
      <c r="AC236" s="173" t="s">
        <v>76</v>
      </c>
      <c r="AD236" s="147"/>
      <c r="AE236" s="105"/>
      <c r="AF236" s="105"/>
      <c r="AG236" s="146"/>
      <c r="AH236" s="3"/>
      <c r="AI236" s="139"/>
    </row>
    <row r="237" spans="2:35" s="138" customFormat="1" ht="47.25" customHeight="1" x14ac:dyDescent="0.25">
      <c r="B237" s="1222"/>
      <c r="C237" s="1294"/>
      <c r="D237" s="1219"/>
      <c r="E237" s="1229"/>
      <c r="F237" s="1219"/>
      <c r="G237" s="1237"/>
      <c r="H237" s="1237"/>
      <c r="I237" s="95" t="s">
        <v>28</v>
      </c>
      <c r="J237" s="95">
        <v>119</v>
      </c>
      <c r="K237" s="167" t="s">
        <v>75</v>
      </c>
      <c r="L237" s="174" t="s">
        <v>74</v>
      </c>
      <c r="M237" s="174">
        <v>10</v>
      </c>
      <c r="N237" s="174" t="s">
        <v>55</v>
      </c>
      <c r="O237" s="94">
        <v>35370000</v>
      </c>
      <c r="P237" s="116"/>
      <c r="Q237" s="94">
        <f t="shared" si="47"/>
        <v>35370000</v>
      </c>
      <c r="R237" s="93"/>
      <c r="S237" s="93"/>
      <c r="T237" s="93"/>
      <c r="U237" s="93"/>
      <c r="V237" s="92"/>
      <c r="W237" s="91">
        <f t="shared" si="48"/>
        <v>35370000</v>
      </c>
      <c r="X237" s="150">
        <v>35370000</v>
      </c>
      <c r="Y237" s="148"/>
      <c r="Z237" s="88">
        <f t="shared" si="44"/>
        <v>35370000</v>
      </c>
      <c r="AA237" s="168">
        <v>41333</v>
      </c>
      <c r="AB237" s="149">
        <v>7</v>
      </c>
      <c r="AC237" s="173" t="s">
        <v>73</v>
      </c>
      <c r="AD237" s="172"/>
      <c r="AE237" s="105"/>
      <c r="AF237" s="105"/>
      <c r="AG237" s="146"/>
      <c r="AH237" s="3">
        <f>+AI237/Z237</f>
        <v>0.1</v>
      </c>
      <c r="AI237" s="139">
        <v>3537000</v>
      </c>
    </row>
    <row r="238" spans="2:35" s="138" customFormat="1" ht="46.5" customHeight="1" x14ac:dyDescent="0.25">
      <c r="B238" s="1222"/>
      <c r="C238" s="1294"/>
      <c r="D238" s="1219"/>
      <c r="E238" s="1229"/>
      <c r="F238" s="1219"/>
      <c r="G238" s="1260"/>
      <c r="H238" s="1212"/>
      <c r="I238" s="154" t="s">
        <v>28</v>
      </c>
      <c r="J238" s="95">
        <v>304</v>
      </c>
      <c r="K238" s="171" t="s">
        <v>72</v>
      </c>
      <c r="L238" s="170" t="s">
        <v>39</v>
      </c>
      <c r="M238" s="170">
        <v>7</v>
      </c>
      <c r="N238" s="169" t="s">
        <v>55</v>
      </c>
      <c r="O238" s="94">
        <f>35000000-1988000</f>
        <v>33012000</v>
      </c>
      <c r="P238" s="116"/>
      <c r="Q238" s="94">
        <f t="shared" si="47"/>
        <v>33012000</v>
      </c>
      <c r="R238" s="93"/>
      <c r="S238" s="93"/>
      <c r="T238" s="93"/>
      <c r="U238" s="93"/>
      <c r="V238" s="92"/>
      <c r="W238" s="91">
        <f t="shared" si="48"/>
        <v>33012000</v>
      </c>
      <c r="X238" s="150">
        <v>33012000</v>
      </c>
      <c r="Y238" s="148"/>
      <c r="Z238" s="88">
        <f t="shared" si="44"/>
        <v>33012000</v>
      </c>
      <c r="AA238" s="168">
        <v>41516</v>
      </c>
      <c r="AB238" s="149">
        <v>91</v>
      </c>
      <c r="AC238" s="148" t="s">
        <v>71</v>
      </c>
      <c r="AD238" s="147"/>
      <c r="AE238" s="105"/>
      <c r="AF238" s="105"/>
      <c r="AG238" s="146"/>
      <c r="AH238" s="3">
        <f>+AI238/Z238</f>
        <v>0.3</v>
      </c>
      <c r="AI238" s="139">
        <v>9903600</v>
      </c>
    </row>
    <row r="239" spans="2:35" s="138" customFormat="1" ht="51.75" customHeight="1" x14ac:dyDescent="0.25">
      <c r="B239" s="1222"/>
      <c r="C239" s="1294"/>
      <c r="D239" s="1219"/>
      <c r="E239" s="1229"/>
      <c r="F239" s="1219"/>
      <c r="G239" s="1237"/>
      <c r="H239" s="1237"/>
      <c r="I239" s="95"/>
      <c r="J239" s="95">
        <v>121</v>
      </c>
      <c r="K239" s="167" t="s">
        <v>70</v>
      </c>
      <c r="L239" s="121" t="s">
        <v>44</v>
      </c>
      <c r="M239" s="121">
        <v>3</v>
      </c>
      <c r="N239" s="121" t="s">
        <v>55</v>
      </c>
      <c r="O239" s="166">
        <v>24759000</v>
      </c>
      <c r="P239" s="116"/>
      <c r="Q239" s="116">
        <f t="shared" si="47"/>
        <v>24759000</v>
      </c>
      <c r="R239" s="115"/>
      <c r="S239" s="115"/>
      <c r="T239" s="115"/>
      <c r="U239" s="115"/>
      <c r="V239" s="114"/>
      <c r="W239" s="109">
        <f t="shared" si="48"/>
        <v>24759000</v>
      </c>
      <c r="X239" s="150">
        <v>24759000</v>
      </c>
      <c r="Y239" s="148"/>
      <c r="Z239" s="88">
        <f t="shared" si="44"/>
        <v>24759000</v>
      </c>
      <c r="AA239" s="148">
        <v>41603</v>
      </c>
      <c r="AB239" s="149">
        <v>127</v>
      </c>
      <c r="AC239" s="148" t="s">
        <v>69</v>
      </c>
      <c r="AD239" s="147"/>
      <c r="AE239" s="105"/>
      <c r="AF239" s="105"/>
      <c r="AG239" s="146"/>
      <c r="AH239" s="3">
        <f>+AI239/Z239</f>
        <v>1</v>
      </c>
      <c r="AI239" s="139">
        <v>24759000</v>
      </c>
    </row>
    <row r="240" spans="2:35" s="138" customFormat="1" ht="51.75" customHeight="1" x14ac:dyDescent="0.25">
      <c r="B240" s="1222"/>
      <c r="C240" s="1294"/>
      <c r="D240" s="1219"/>
      <c r="E240" s="1229"/>
      <c r="F240" s="1219"/>
      <c r="G240" s="1260"/>
      <c r="H240" s="1212"/>
      <c r="I240" s="154"/>
      <c r="J240" s="95"/>
      <c r="K240" s="165" t="s">
        <v>68</v>
      </c>
      <c r="L240" s="164"/>
      <c r="M240" s="164"/>
      <c r="N240" s="164"/>
      <c r="O240" s="163">
        <f>25000000-24759000</f>
        <v>241000</v>
      </c>
      <c r="P240" s="162"/>
      <c r="Q240" s="162"/>
      <c r="R240" s="162"/>
      <c r="S240" s="162"/>
      <c r="T240" s="162"/>
      <c r="U240" s="162"/>
      <c r="V240" s="161"/>
      <c r="W240" s="160">
        <f>+O240+R240</f>
        <v>241000</v>
      </c>
      <c r="X240" s="150"/>
      <c r="Y240" s="148"/>
      <c r="Z240" s="88">
        <f t="shared" si="44"/>
        <v>0</v>
      </c>
      <c r="AA240" s="148"/>
      <c r="AB240" s="149"/>
      <c r="AC240" s="148"/>
      <c r="AD240" s="147"/>
      <c r="AE240" s="105"/>
      <c r="AF240" s="105"/>
      <c r="AG240" s="146"/>
      <c r="AH240" s="3"/>
      <c r="AI240" s="139"/>
    </row>
    <row r="241" spans="2:35" s="138" customFormat="1" ht="63.75" customHeight="1" x14ac:dyDescent="0.25">
      <c r="B241" s="1222"/>
      <c r="C241" s="1294"/>
      <c r="D241" s="1219"/>
      <c r="E241" s="1229"/>
      <c r="F241" s="1219"/>
      <c r="G241" s="1260"/>
      <c r="H241" s="1212"/>
      <c r="I241" s="154" t="s">
        <v>28</v>
      </c>
      <c r="J241" s="95">
        <v>122</v>
      </c>
      <c r="K241" s="159" t="s">
        <v>67</v>
      </c>
      <c r="L241" s="158" t="s">
        <v>35</v>
      </c>
      <c r="M241" s="158">
        <v>12</v>
      </c>
      <c r="N241" s="158" t="s">
        <v>55</v>
      </c>
      <c r="O241" s="157">
        <f>42444000-1179000</f>
        <v>41265000</v>
      </c>
      <c r="P241" s="116"/>
      <c r="Q241" s="94">
        <f>+O241+P241</f>
        <v>41265000</v>
      </c>
      <c r="R241" s="93"/>
      <c r="S241" s="93"/>
      <c r="T241" s="93"/>
      <c r="U241" s="93"/>
      <c r="V241" s="92"/>
      <c r="W241" s="91">
        <f>+Q241+V241</f>
        <v>41265000</v>
      </c>
      <c r="X241" s="150">
        <v>41265000</v>
      </c>
      <c r="Y241" s="148"/>
      <c r="Z241" s="88">
        <f t="shared" si="44"/>
        <v>41265000</v>
      </c>
      <c r="AA241" s="156">
        <v>41387</v>
      </c>
      <c r="AB241" s="149">
        <v>45</v>
      </c>
      <c r="AC241" s="148" t="s">
        <v>66</v>
      </c>
      <c r="AD241" s="147"/>
      <c r="AE241" s="105"/>
      <c r="AF241" s="105"/>
      <c r="AG241" s="146"/>
      <c r="AH241" s="3">
        <f>+AI241/Z241</f>
        <v>0.4</v>
      </c>
      <c r="AI241" s="139">
        <v>16506000</v>
      </c>
    </row>
    <row r="242" spans="2:35" s="138" customFormat="1" ht="33" customHeight="1" x14ac:dyDescent="0.25">
      <c r="B242" s="1222"/>
      <c r="C242" s="1294"/>
      <c r="D242" s="1219"/>
      <c r="E242" s="1229"/>
      <c r="F242" s="1219"/>
      <c r="G242" s="155"/>
      <c r="H242" s="154"/>
      <c r="I242" s="154"/>
      <c r="J242" s="95">
        <v>123</v>
      </c>
      <c r="K242" s="96" t="s">
        <v>65</v>
      </c>
      <c r="L242" s="153" t="s">
        <v>47</v>
      </c>
      <c r="M242" s="152">
        <v>10</v>
      </c>
      <c r="N242" s="152" t="s">
        <v>55</v>
      </c>
      <c r="O242" s="151">
        <f>3016000-2096000+1179000+1988000-4087000</f>
        <v>0</v>
      </c>
      <c r="P242" s="94"/>
      <c r="Q242" s="94">
        <f>+O242+P242</f>
        <v>0</v>
      </c>
      <c r="R242" s="93"/>
      <c r="S242" s="93"/>
      <c r="T242" s="93"/>
      <c r="U242" s="93"/>
      <c r="V242" s="92"/>
      <c r="W242" s="91">
        <f>+Q242+V242</f>
        <v>0</v>
      </c>
      <c r="X242" s="150"/>
      <c r="Y242" s="148"/>
      <c r="Z242" s="88">
        <f t="shared" si="44"/>
        <v>0</v>
      </c>
      <c r="AA242" s="148"/>
      <c r="AB242" s="149"/>
      <c r="AC242" s="148"/>
      <c r="AD242" s="147"/>
      <c r="AE242" s="105"/>
      <c r="AF242" s="105"/>
      <c r="AG242" s="146"/>
      <c r="AH242" s="3"/>
      <c r="AI242" s="139"/>
    </row>
    <row r="243" spans="2:35" s="138" customFormat="1" ht="24.75" customHeight="1" x14ac:dyDescent="0.25">
      <c r="B243" s="1222"/>
      <c r="C243" s="1294"/>
      <c r="D243" s="1219"/>
      <c r="E243" s="1229"/>
      <c r="F243" s="1219"/>
      <c r="G243" s="1194" t="s">
        <v>23</v>
      </c>
      <c r="H243" s="1188"/>
      <c r="I243" s="1188"/>
      <c r="J243" s="1188"/>
      <c r="K243" s="1188"/>
      <c r="L243" s="101"/>
      <c r="M243" s="101"/>
      <c r="N243" s="101"/>
      <c r="O243" s="82">
        <f>SUM(O229:O242)</f>
        <v>416664497</v>
      </c>
      <c r="P243" s="82"/>
      <c r="Q243" s="82">
        <f>+O243+P243</f>
        <v>416664497</v>
      </c>
      <c r="R243" s="144">
        <f>SUM(R229)</f>
        <v>0</v>
      </c>
      <c r="S243" s="144">
        <f>SUM(S229)</f>
        <v>0</v>
      </c>
      <c r="T243" s="144"/>
      <c r="U243" s="144">
        <f>SUM(U229)</f>
        <v>0</v>
      </c>
      <c r="V243" s="145">
        <f>+R243+U243</f>
        <v>0</v>
      </c>
      <c r="W243" s="144">
        <f>+O243+R243</f>
        <v>416664497</v>
      </c>
      <c r="X243" s="81">
        <f>SUM(X229:X242)</f>
        <v>412859600</v>
      </c>
      <c r="Y243" s="81">
        <f>SUM(Y229:Y242)</f>
        <v>0</v>
      </c>
      <c r="Z243" s="88">
        <f t="shared" si="44"/>
        <v>412859600</v>
      </c>
      <c r="AA243" s="78"/>
      <c r="AB243" s="78"/>
      <c r="AC243" s="78"/>
      <c r="AD243" s="79">
        <f>+Z243/W243</f>
        <v>0.99086819964888917</v>
      </c>
      <c r="AE243" s="78"/>
      <c r="AF243" s="143">
        <f>SUM(AF229:AF242)</f>
        <v>0</v>
      </c>
      <c r="AG243" s="142">
        <f>SUM(AG229:AG242)</f>
        <v>0</v>
      </c>
      <c r="AH243" s="3"/>
      <c r="AI243" s="139"/>
    </row>
    <row r="244" spans="2:35" s="138" customFormat="1" ht="31.5" customHeight="1" x14ac:dyDescent="0.25">
      <c r="B244" s="1222"/>
      <c r="C244" s="1294"/>
      <c r="D244" s="1219"/>
      <c r="E244" s="1229"/>
      <c r="F244" s="1219"/>
      <c r="G244" s="1256" t="s">
        <v>64</v>
      </c>
      <c r="H244" s="1257"/>
      <c r="I244" s="1257"/>
      <c r="J244" s="1257"/>
      <c r="K244" s="1257"/>
      <c r="L244" s="1257"/>
      <c r="M244" s="1257"/>
      <c r="N244" s="1258"/>
      <c r="O244" s="91">
        <f>+O243</f>
        <v>416664497</v>
      </c>
      <c r="P244" s="91"/>
      <c r="Q244" s="91">
        <f>+O244+P244</f>
        <v>416664497</v>
      </c>
      <c r="R244" s="91">
        <f>SUM(R229:R229)</f>
        <v>0</v>
      </c>
      <c r="S244" s="91">
        <f>SUM(S229:S229)</f>
        <v>0</v>
      </c>
      <c r="T244" s="91"/>
      <c r="U244" s="91">
        <f>SUM(U229:U229)</f>
        <v>0</v>
      </c>
      <c r="V244" s="127">
        <f>+R244+U244</f>
        <v>0</v>
      </c>
      <c r="W244" s="91">
        <f>+O244+R244</f>
        <v>416664497</v>
      </c>
      <c r="X244" s="73">
        <f>+X243</f>
        <v>412859600</v>
      </c>
      <c r="Y244" s="72">
        <f>+Y243</f>
        <v>0</v>
      </c>
      <c r="Z244" s="88">
        <f t="shared" si="44"/>
        <v>412859600</v>
      </c>
      <c r="AA244" s="71"/>
      <c r="AB244" s="71"/>
      <c r="AC244" s="71"/>
      <c r="AD244" s="70">
        <f>+Z244/W244</f>
        <v>0.99086819964888917</v>
      </c>
      <c r="AE244" s="71"/>
      <c r="AF244" s="141">
        <f>+AF243</f>
        <v>0</v>
      </c>
      <c r="AG244" s="140">
        <f>+AG243</f>
        <v>0</v>
      </c>
      <c r="AH244" s="3"/>
      <c r="AI244" s="139"/>
    </row>
    <row r="245" spans="2:35" ht="49.5" customHeight="1" x14ac:dyDescent="0.25">
      <c r="B245" s="1222" t="str">
        <f>+B229</f>
        <v>Proyecto 907</v>
      </c>
      <c r="C245" s="1222" t="str">
        <f>+C229</f>
        <v>GESTIÓN INSTITUCIONAL</v>
      </c>
      <c r="D245" s="1206" t="str">
        <f>+D229</f>
        <v>Implementar 100% del Sistema Integrado de Gestión.</v>
      </c>
      <c r="E245" s="1228" t="s">
        <v>63</v>
      </c>
      <c r="F245" s="1206" t="s">
        <v>62</v>
      </c>
      <c r="G245" s="1177" t="s">
        <v>61</v>
      </c>
      <c r="H245" s="1177" t="s">
        <v>49</v>
      </c>
      <c r="I245" s="97" t="s">
        <v>28</v>
      </c>
      <c r="J245" s="97">
        <v>328</v>
      </c>
      <c r="K245" s="96" t="s">
        <v>60</v>
      </c>
      <c r="L245" s="95" t="s">
        <v>59</v>
      </c>
      <c r="M245" s="95">
        <v>1</v>
      </c>
      <c r="N245" s="95" t="s">
        <v>55</v>
      </c>
      <c r="O245" s="94">
        <f>6000000-1360000</f>
        <v>4640000</v>
      </c>
      <c r="P245" s="93"/>
      <c r="Q245" s="94">
        <f>+O245+P245</f>
        <v>4640000</v>
      </c>
      <c r="R245" s="93"/>
      <c r="S245" s="93"/>
      <c r="T245" s="93"/>
      <c r="U245" s="93"/>
      <c r="V245" s="92">
        <f>+R245+S245+U245</f>
        <v>0</v>
      </c>
      <c r="W245" s="91">
        <f>+Q245+V245</f>
        <v>4640000</v>
      </c>
      <c r="X245" s="137">
        <v>4640000</v>
      </c>
      <c r="Y245" s="136"/>
      <c r="Z245" s="88">
        <f t="shared" si="44"/>
        <v>4640000</v>
      </c>
      <c r="AA245" s="87">
        <v>41526</v>
      </c>
      <c r="AB245" s="50">
        <v>100</v>
      </c>
      <c r="AC245" s="50" t="s">
        <v>58</v>
      </c>
      <c r="AD245" s="103"/>
      <c r="AE245" s="50"/>
      <c r="AF245" s="50"/>
      <c r="AG245" s="49"/>
      <c r="AH245" s="3">
        <f>+AI245/Z245</f>
        <v>0</v>
      </c>
      <c r="AI245" s="2">
        <v>0</v>
      </c>
    </row>
    <row r="246" spans="2:35" ht="45" customHeight="1" x14ac:dyDescent="0.25">
      <c r="B246" s="1222"/>
      <c r="C246" s="1222"/>
      <c r="D246" s="1206"/>
      <c r="E246" s="1228"/>
      <c r="F246" s="1206"/>
      <c r="G246" s="1179"/>
      <c r="H246" s="1179"/>
      <c r="I246" s="97"/>
      <c r="J246" s="97">
        <v>123</v>
      </c>
      <c r="K246" s="96" t="s">
        <v>57</v>
      </c>
      <c r="L246" s="95" t="s">
        <v>56</v>
      </c>
      <c r="M246" s="95">
        <v>2</v>
      </c>
      <c r="N246" s="95" t="s">
        <v>55</v>
      </c>
      <c r="O246" s="134">
        <f>1360000-1360000</f>
        <v>0</v>
      </c>
      <c r="P246" s="135"/>
      <c r="Q246" s="134"/>
      <c r="R246" s="93"/>
      <c r="S246" s="93"/>
      <c r="T246" s="93"/>
      <c r="U246" s="93"/>
      <c r="V246" s="92"/>
      <c r="W246" s="91">
        <f>+O246+R246</f>
        <v>0</v>
      </c>
      <c r="X246" s="133"/>
      <c r="Y246" s="50"/>
      <c r="Z246" s="88">
        <f t="shared" si="44"/>
        <v>0</v>
      </c>
      <c r="AA246" s="50"/>
      <c r="AB246" s="50"/>
      <c r="AC246" s="50"/>
      <c r="AD246" s="103"/>
      <c r="AE246" s="50"/>
      <c r="AF246" s="50"/>
      <c r="AG246" s="49"/>
    </row>
    <row r="247" spans="2:35" ht="18" customHeight="1" x14ac:dyDescent="0.25">
      <c r="B247" s="1222"/>
      <c r="C247" s="1222"/>
      <c r="D247" s="1206"/>
      <c r="E247" s="1229"/>
      <c r="F247" s="1206"/>
      <c r="G247" s="1192" t="s">
        <v>23</v>
      </c>
      <c r="H247" s="1193"/>
      <c r="I247" s="1193"/>
      <c r="J247" s="1193"/>
      <c r="K247" s="1194"/>
      <c r="L247" s="84"/>
      <c r="M247" s="84"/>
      <c r="N247" s="84"/>
      <c r="O247" s="83">
        <f>+O245+O246</f>
        <v>4640000</v>
      </c>
      <c r="P247" s="132"/>
      <c r="Q247" s="83">
        <f>+Q245</f>
        <v>4640000</v>
      </c>
      <c r="R247" s="132"/>
      <c r="S247" s="131"/>
      <c r="T247" s="131"/>
      <c r="U247" s="130"/>
      <c r="V247" s="129"/>
      <c r="W247" s="128">
        <f>+W245+W246</f>
        <v>4640000</v>
      </c>
      <c r="X247" s="81">
        <f>+X245</f>
        <v>4640000</v>
      </c>
      <c r="Y247" s="80">
        <f>+Y245</f>
        <v>0</v>
      </c>
      <c r="Z247" s="88">
        <f t="shared" si="44"/>
        <v>4640000</v>
      </c>
      <c r="AA247" s="78"/>
      <c r="AB247" s="78"/>
      <c r="AC247" s="78"/>
      <c r="AD247" s="79">
        <f>+Z247/W247</f>
        <v>1</v>
      </c>
      <c r="AE247" s="78"/>
      <c r="AF247" s="77">
        <f>SUM(AF245:AF246)</f>
        <v>0</v>
      </c>
      <c r="AG247" s="76">
        <f>SUM(AG245:AG246)</f>
        <v>0</v>
      </c>
    </row>
    <row r="248" spans="2:35" ht="31.5" customHeight="1" x14ac:dyDescent="0.25">
      <c r="B248" s="1222"/>
      <c r="C248" s="1223"/>
      <c r="D248" s="1207"/>
      <c r="E248" s="1229"/>
      <c r="F248" s="1207"/>
      <c r="G248" s="1256" t="s">
        <v>54</v>
      </c>
      <c r="H248" s="1257"/>
      <c r="I248" s="1257"/>
      <c r="J248" s="1257"/>
      <c r="K248" s="1257"/>
      <c r="L248" s="1257"/>
      <c r="M248" s="1257"/>
      <c r="N248" s="1258"/>
      <c r="O248" s="91">
        <f>+O245+O246</f>
        <v>4640000</v>
      </c>
      <c r="P248" s="91">
        <f>+P245</f>
        <v>0</v>
      </c>
      <c r="Q248" s="91">
        <f>+O248+P248</f>
        <v>4640000</v>
      </c>
      <c r="R248" s="91">
        <f>+R245</f>
        <v>0</v>
      </c>
      <c r="S248" s="91">
        <f>+S245</f>
        <v>0</v>
      </c>
      <c r="T248" s="91"/>
      <c r="U248" s="91">
        <f>+U245</f>
        <v>0</v>
      </c>
      <c r="V248" s="127">
        <f>+R248+U248</f>
        <v>0</v>
      </c>
      <c r="W248" s="91">
        <f>+Q248+V248</f>
        <v>4640000</v>
      </c>
      <c r="X248" s="73">
        <f>+X247</f>
        <v>4640000</v>
      </c>
      <c r="Y248" s="72">
        <f>+Y247</f>
        <v>0</v>
      </c>
      <c r="Z248" s="88">
        <f t="shared" si="44"/>
        <v>4640000</v>
      </c>
      <c r="AA248" s="71"/>
      <c r="AB248" s="71"/>
      <c r="AC248" s="71"/>
      <c r="AD248" s="70">
        <f>+Z248/W248</f>
        <v>1</v>
      </c>
      <c r="AE248" s="71"/>
      <c r="AF248" s="100">
        <f>+AF247</f>
        <v>0</v>
      </c>
      <c r="AG248" s="99">
        <f>+AG247</f>
        <v>0</v>
      </c>
    </row>
    <row r="249" spans="2:35" ht="19.5" customHeight="1" x14ac:dyDescent="0.25">
      <c r="B249" s="1222"/>
      <c r="C249" s="1230" t="s">
        <v>53</v>
      </c>
      <c r="D249" s="1231"/>
      <c r="E249" s="1231"/>
      <c r="F249" s="1231"/>
      <c r="G249" s="1231"/>
      <c r="H249" s="1231"/>
      <c r="I249" s="1231"/>
      <c r="J249" s="1231"/>
      <c r="K249" s="1232"/>
      <c r="L249" s="126"/>
      <c r="M249" s="126"/>
      <c r="N249" s="126"/>
      <c r="O249" s="124">
        <f>+O244+O248</f>
        <v>421304497</v>
      </c>
      <c r="P249" s="124">
        <f>+P244+P248+P258+P261</f>
        <v>0</v>
      </c>
      <c r="Q249" s="124">
        <f>+O249+P249</f>
        <v>421304497</v>
      </c>
      <c r="R249" s="124">
        <f>+R244+R248+R258+R261</f>
        <v>0</v>
      </c>
      <c r="S249" s="124">
        <f>+S244+S248+S258+S261</f>
        <v>0</v>
      </c>
      <c r="T249" s="124"/>
      <c r="U249" s="124">
        <f>+U244+U248+U258+U261</f>
        <v>0</v>
      </c>
      <c r="V249" s="125">
        <f>+R249+U249</f>
        <v>0</v>
      </c>
      <c r="W249" s="124">
        <f>+Q249+V249</f>
        <v>421304497</v>
      </c>
      <c r="X249" s="62">
        <f>+X244+X248</f>
        <v>417499600</v>
      </c>
      <c r="Y249" s="62">
        <f>+Y244+Y248</f>
        <v>0</v>
      </c>
      <c r="Z249" s="88">
        <f t="shared" si="44"/>
        <v>417499600</v>
      </c>
      <c r="AA249" s="60"/>
      <c r="AB249" s="60"/>
      <c r="AC249" s="60"/>
      <c r="AD249" s="59">
        <f>+Z249/W249</f>
        <v>0.99096877192839461</v>
      </c>
      <c r="AE249" s="60"/>
      <c r="AF249" s="58">
        <f>+AF244+AF248</f>
        <v>0</v>
      </c>
      <c r="AG249" s="57">
        <f>+AG244+AG248</f>
        <v>0</v>
      </c>
    </row>
    <row r="250" spans="2:35" ht="45" customHeight="1" x14ac:dyDescent="0.25">
      <c r="B250" s="1222"/>
      <c r="C250" s="1219" t="s">
        <v>52</v>
      </c>
      <c r="D250" s="1219" t="s">
        <v>10</v>
      </c>
      <c r="E250" s="1245" t="s">
        <v>50</v>
      </c>
      <c r="F250" s="1205" t="s">
        <v>51</v>
      </c>
      <c r="G250" s="1237" t="s">
        <v>50</v>
      </c>
      <c r="H250" s="1271" t="s">
        <v>49</v>
      </c>
      <c r="I250" s="97"/>
      <c r="J250" s="123">
        <v>124</v>
      </c>
      <c r="K250" s="122" t="s">
        <v>48</v>
      </c>
      <c r="L250" s="121" t="s">
        <v>47</v>
      </c>
      <c r="M250" s="117">
        <v>3</v>
      </c>
      <c r="N250" s="117" t="s">
        <v>46</v>
      </c>
      <c r="O250" s="116">
        <f>180000000-80000000-3922950-88774763-6124688</f>
        <v>1177599</v>
      </c>
      <c r="P250" s="115"/>
      <c r="Q250" s="116">
        <f>+O250+P250</f>
        <v>1177599</v>
      </c>
      <c r="R250" s="115"/>
      <c r="S250" s="115"/>
      <c r="T250" s="115"/>
      <c r="U250" s="115"/>
      <c r="V250" s="114"/>
      <c r="W250" s="109">
        <f t="shared" ref="W250:W256" si="49">+O250+R250</f>
        <v>1177599</v>
      </c>
      <c r="X250" s="108">
        <f t="shared" ref="X250:X256" si="50">+O250</f>
        <v>1177599</v>
      </c>
      <c r="Y250" s="50"/>
      <c r="Z250" s="88">
        <f t="shared" si="44"/>
        <v>1177599</v>
      </c>
      <c r="AA250" s="50"/>
      <c r="AB250" s="50"/>
      <c r="AC250" s="50"/>
      <c r="AD250" s="103"/>
      <c r="AE250" s="50"/>
      <c r="AF250" s="50"/>
      <c r="AG250" s="49"/>
    </row>
    <row r="251" spans="2:35" ht="45" customHeight="1" x14ac:dyDescent="0.25">
      <c r="B251" s="1222"/>
      <c r="C251" s="1219"/>
      <c r="D251" s="1219"/>
      <c r="E251" s="1246"/>
      <c r="F251" s="1206"/>
      <c r="G251" s="1237"/>
      <c r="H251" s="1272"/>
      <c r="I251" s="97"/>
      <c r="J251" s="112"/>
      <c r="K251" s="120" t="s">
        <v>45</v>
      </c>
      <c r="L251" s="118" t="s">
        <v>44</v>
      </c>
      <c r="M251" s="117">
        <v>1</v>
      </c>
      <c r="N251" s="117" t="s">
        <v>43</v>
      </c>
      <c r="O251" s="116">
        <v>4993857</v>
      </c>
      <c r="P251" s="115"/>
      <c r="Q251" s="116"/>
      <c r="R251" s="115"/>
      <c r="S251" s="115"/>
      <c r="T251" s="115"/>
      <c r="U251" s="115"/>
      <c r="V251" s="114"/>
      <c r="W251" s="109">
        <f t="shared" si="49"/>
        <v>4993857</v>
      </c>
      <c r="X251" s="108">
        <f t="shared" si="50"/>
        <v>4993857</v>
      </c>
      <c r="Y251" s="50"/>
      <c r="Z251" s="88">
        <f t="shared" si="44"/>
        <v>4993857</v>
      </c>
      <c r="AA251" s="87">
        <v>41620</v>
      </c>
      <c r="AB251" s="50">
        <v>129</v>
      </c>
      <c r="AC251" s="50"/>
      <c r="AD251" s="103"/>
      <c r="AE251" s="50"/>
      <c r="AF251" s="50"/>
      <c r="AG251" s="49"/>
      <c r="AH251" s="3">
        <f>+AI251/Z251</f>
        <v>1</v>
      </c>
      <c r="AI251" s="2">
        <v>4993857</v>
      </c>
    </row>
    <row r="252" spans="2:35" ht="60.75" customHeight="1" x14ac:dyDescent="0.25">
      <c r="B252" s="1222"/>
      <c r="C252" s="1219"/>
      <c r="D252" s="1219"/>
      <c r="E252" s="1246"/>
      <c r="F252" s="1206"/>
      <c r="G252" s="1237"/>
      <c r="H252" s="1272"/>
      <c r="I252" s="97"/>
      <c r="J252" s="112"/>
      <c r="K252" s="119" t="s">
        <v>42</v>
      </c>
      <c r="L252" s="118"/>
      <c r="M252" s="117"/>
      <c r="N252" s="117"/>
      <c r="O252" s="116">
        <v>1130831</v>
      </c>
      <c r="P252" s="115"/>
      <c r="Q252" s="116"/>
      <c r="R252" s="115"/>
      <c r="S252" s="115"/>
      <c r="T252" s="115"/>
      <c r="U252" s="115"/>
      <c r="V252" s="114"/>
      <c r="W252" s="109">
        <f t="shared" si="49"/>
        <v>1130831</v>
      </c>
      <c r="X252" s="108">
        <f t="shared" si="50"/>
        <v>1130831</v>
      </c>
      <c r="Y252" s="50"/>
      <c r="Z252" s="88">
        <f t="shared" si="44"/>
        <v>1130831</v>
      </c>
      <c r="AA252" s="87"/>
      <c r="AB252" s="50"/>
      <c r="AC252" s="50"/>
      <c r="AD252" s="103"/>
      <c r="AE252" s="50"/>
      <c r="AF252" s="50"/>
      <c r="AG252" s="49"/>
    </row>
    <row r="253" spans="2:35" ht="69.75" customHeight="1" x14ac:dyDescent="0.25">
      <c r="B253" s="1222"/>
      <c r="C253" s="1219"/>
      <c r="D253" s="1219"/>
      <c r="E253" s="1246"/>
      <c r="F253" s="1206"/>
      <c r="G253" s="1237"/>
      <c r="H253" s="1272"/>
      <c r="I253" s="97" t="s">
        <v>41</v>
      </c>
      <c r="J253" s="112">
        <v>305</v>
      </c>
      <c r="K253" s="111" t="s">
        <v>40</v>
      </c>
      <c r="L253" s="110" t="s">
        <v>39</v>
      </c>
      <c r="M253" s="97">
        <v>1</v>
      </c>
      <c r="N253" s="97" t="s">
        <v>34</v>
      </c>
      <c r="O253" s="94">
        <v>86500000</v>
      </c>
      <c r="P253" s="93"/>
      <c r="Q253" s="94"/>
      <c r="R253" s="93"/>
      <c r="S253" s="93"/>
      <c r="T253" s="93"/>
      <c r="U253" s="93"/>
      <c r="V253" s="92"/>
      <c r="W253" s="109">
        <f t="shared" si="49"/>
        <v>86500000</v>
      </c>
      <c r="X253" s="108">
        <f t="shared" si="50"/>
        <v>86500000</v>
      </c>
      <c r="Y253" s="50"/>
      <c r="Z253" s="88">
        <f t="shared" si="44"/>
        <v>86500000</v>
      </c>
      <c r="AA253" s="87">
        <v>41540</v>
      </c>
      <c r="AB253" s="50">
        <v>113</v>
      </c>
      <c r="AC253" s="50" t="s">
        <v>38</v>
      </c>
      <c r="AD253" s="103"/>
      <c r="AE253" s="50"/>
      <c r="AF253" s="50"/>
      <c r="AG253" s="49"/>
      <c r="AH253" s="3">
        <f>+AI253/Z253</f>
        <v>0</v>
      </c>
      <c r="AI253" s="113"/>
    </row>
    <row r="254" spans="2:35" ht="75.75" customHeight="1" x14ac:dyDescent="0.25">
      <c r="B254" s="1222"/>
      <c r="C254" s="1219"/>
      <c r="D254" s="1219"/>
      <c r="E254" s="1246"/>
      <c r="F254" s="1206"/>
      <c r="G254" s="1237"/>
      <c r="H254" s="1272"/>
      <c r="I254" s="97"/>
      <c r="J254" s="112"/>
      <c r="K254" s="111" t="s">
        <v>37</v>
      </c>
      <c r="L254" s="110"/>
      <c r="M254" s="97"/>
      <c r="N254" s="97"/>
      <c r="O254" s="94">
        <f>88774763-86500000-2274763</f>
        <v>0</v>
      </c>
      <c r="P254" s="93"/>
      <c r="Q254" s="94"/>
      <c r="R254" s="93"/>
      <c r="S254" s="93"/>
      <c r="T254" s="93"/>
      <c r="U254" s="93"/>
      <c r="V254" s="92"/>
      <c r="W254" s="109">
        <f t="shared" si="49"/>
        <v>0</v>
      </c>
      <c r="X254" s="108">
        <f t="shared" si="50"/>
        <v>0</v>
      </c>
      <c r="Y254" s="50"/>
      <c r="Z254" s="88">
        <f t="shared" si="44"/>
        <v>0</v>
      </c>
      <c r="AA254" s="50"/>
      <c r="AB254" s="50"/>
      <c r="AC254" s="50"/>
      <c r="AD254" s="103"/>
      <c r="AE254" s="50"/>
      <c r="AF254" s="50"/>
      <c r="AG254" s="49"/>
    </row>
    <row r="255" spans="2:35" ht="41.25" customHeight="1" x14ac:dyDescent="0.25">
      <c r="B255" s="1222"/>
      <c r="C255" s="1219"/>
      <c r="D255" s="1219"/>
      <c r="E255" s="1246"/>
      <c r="F255" s="1206"/>
      <c r="G255" s="1237"/>
      <c r="H255" s="1272"/>
      <c r="I255" s="97" t="s">
        <v>28</v>
      </c>
      <c r="J255" s="112">
        <v>251</v>
      </c>
      <c r="K255" s="111" t="s">
        <v>36</v>
      </c>
      <c r="L255" s="110" t="s">
        <v>35</v>
      </c>
      <c r="M255" s="97">
        <v>1</v>
      </c>
      <c r="N255" s="97" t="s">
        <v>34</v>
      </c>
      <c r="O255" s="94">
        <v>3248000</v>
      </c>
      <c r="P255" s="93"/>
      <c r="Q255" s="94">
        <f>+O255+P255</f>
        <v>3248000</v>
      </c>
      <c r="R255" s="93"/>
      <c r="S255" s="93"/>
      <c r="T255" s="93"/>
      <c r="U255" s="93"/>
      <c r="V255" s="92"/>
      <c r="W255" s="109">
        <f t="shared" si="49"/>
        <v>3248000</v>
      </c>
      <c r="X255" s="108">
        <f t="shared" si="50"/>
        <v>3248000</v>
      </c>
      <c r="Y255" s="107"/>
      <c r="Z255" s="88">
        <f t="shared" si="44"/>
        <v>3248000</v>
      </c>
      <c r="AA255" s="106">
        <v>41443</v>
      </c>
      <c r="AB255" s="105">
        <v>61</v>
      </c>
      <c r="AC255" s="104" t="s">
        <v>33</v>
      </c>
      <c r="AD255" s="103"/>
      <c r="AE255" s="50"/>
      <c r="AF255" s="50"/>
      <c r="AG255" s="49"/>
      <c r="AH255" s="3">
        <f>+AI255/Z255</f>
        <v>0</v>
      </c>
      <c r="AI255" s="2">
        <v>0</v>
      </c>
    </row>
    <row r="256" spans="2:35" ht="63.75" customHeight="1" x14ac:dyDescent="0.25">
      <c r="B256" s="1222"/>
      <c r="C256" s="1219"/>
      <c r="D256" s="1219"/>
      <c r="E256" s="1246"/>
      <c r="F256" s="1206"/>
      <c r="G256" s="1237"/>
      <c r="H256" s="1273"/>
      <c r="I256" s="97"/>
      <c r="J256" s="97"/>
      <c r="K256" s="111" t="s">
        <v>32</v>
      </c>
      <c r="L256" s="110"/>
      <c r="M256" s="97"/>
      <c r="N256" s="97"/>
      <c r="O256" s="94">
        <f>674950-674950</f>
        <v>0</v>
      </c>
      <c r="P256" s="93"/>
      <c r="Q256" s="94"/>
      <c r="R256" s="93"/>
      <c r="S256" s="93"/>
      <c r="T256" s="93"/>
      <c r="U256" s="93"/>
      <c r="V256" s="92"/>
      <c r="W256" s="109">
        <f t="shared" si="49"/>
        <v>0</v>
      </c>
      <c r="X256" s="108">
        <f t="shared" si="50"/>
        <v>0</v>
      </c>
      <c r="Y256" s="107"/>
      <c r="Z256" s="88">
        <f t="shared" si="44"/>
        <v>0</v>
      </c>
      <c r="AA256" s="106"/>
      <c r="AB256" s="105"/>
      <c r="AC256" s="104"/>
      <c r="AD256" s="103"/>
      <c r="AE256" s="50"/>
      <c r="AF256" s="50"/>
      <c r="AG256" s="49"/>
    </row>
    <row r="257" spans="2:35" ht="21" customHeight="1" x14ac:dyDescent="0.25">
      <c r="B257" s="1222"/>
      <c r="C257" s="1219"/>
      <c r="D257" s="1219"/>
      <c r="E257" s="1228"/>
      <c r="F257" s="1274"/>
      <c r="G257" s="1239" t="s">
        <v>23</v>
      </c>
      <c r="H257" s="1240"/>
      <c r="I257" s="1240"/>
      <c r="J257" s="1240"/>
      <c r="K257" s="1241"/>
      <c r="L257" s="102"/>
      <c r="M257" s="101"/>
      <c r="N257" s="101"/>
      <c r="O257" s="82">
        <f>+O250+O251+O252+O253+O254+O255+O256</f>
        <v>97050287</v>
      </c>
      <c r="P257" s="82">
        <f t="shared" ref="P257:V257" si="51">+P250+P253+P255</f>
        <v>0</v>
      </c>
      <c r="Q257" s="82">
        <f t="shared" si="51"/>
        <v>4425599</v>
      </c>
      <c r="R257" s="82">
        <f t="shared" si="51"/>
        <v>0</v>
      </c>
      <c r="S257" s="82">
        <f t="shared" si="51"/>
        <v>0</v>
      </c>
      <c r="T257" s="82">
        <f t="shared" si="51"/>
        <v>0</v>
      </c>
      <c r="U257" s="82">
        <f t="shared" si="51"/>
        <v>0</v>
      </c>
      <c r="V257" s="82">
        <f t="shared" si="51"/>
        <v>0</v>
      </c>
      <c r="W257" s="82">
        <f>SUM(W250:W256)</f>
        <v>97050287</v>
      </c>
      <c r="X257" s="80">
        <f>SUM(X250:X256)</f>
        <v>97050287</v>
      </c>
      <c r="Y257" s="80">
        <f>SUM(Y250:Y256)</f>
        <v>0</v>
      </c>
      <c r="Z257" s="88">
        <f t="shared" si="44"/>
        <v>97050287</v>
      </c>
      <c r="AA257" s="78"/>
      <c r="AB257" s="78"/>
      <c r="AC257" s="78"/>
      <c r="AD257" s="79">
        <f>+Z257/W257</f>
        <v>1</v>
      </c>
      <c r="AE257" s="78"/>
      <c r="AF257" s="77">
        <f>SUM(AF250:AF256)</f>
        <v>0</v>
      </c>
      <c r="AG257" s="76">
        <f>SUM(AG250:AG256)</f>
        <v>0</v>
      </c>
      <c r="AH257" s="3">
        <f>+AI257/Z257</f>
        <v>0</v>
      </c>
    </row>
    <row r="258" spans="2:35" ht="30" customHeight="1" x14ac:dyDescent="0.25">
      <c r="B258" s="1222"/>
      <c r="C258" s="1219"/>
      <c r="D258" s="1219"/>
      <c r="E258" s="1229" t="s">
        <v>30</v>
      </c>
      <c r="F258" s="1274"/>
      <c r="G258" s="1256" t="s">
        <v>31</v>
      </c>
      <c r="H258" s="1257"/>
      <c r="I258" s="1257"/>
      <c r="J258" s="1257"/>
      <c r="K258" s="1257"/>
      <c r="L258" s="1257"/>
      <c r="M258" s="1257"/>
      <c r="N258" s="1258"/>
      <c r="O258" s="91">
        <f t="shared" ref="O258:Y258" si="52">+O257</f>
        <v>97050287</v>
      </c>
      <c r="P258" s="91">
        <f t="shared" si="52"/>
        <v>0</v>
      </c>
      <c r="Q258" s="91">
        <f t="shared" si="52"/>
        <v>4425599</v>
      </c>
      <c r="R258" s="91">
        <f t="shared" si="52"/>
        <v>0</v>
      </c>
      <c r="S258" s="91">
        <f t="shared" si="52"/>
        <v>0</v>
      </c>
      <c r="T258" s="91">
        <f t="shared" si="52"/>
        <v>0</v>
      </c>
      <c r="U258" s="91">
        <f t="shared" si="52"/>
        <v>0</v>
      </c>
      <c r="V258" s="91">
        <f t="shared" si="52"/>
        <v>0</v>
      </c>
      <c r="W258" s="91">
        <f t="shared" si="52"/>
        <v>97050287</v>
      </c>
      <c r="X258" s="73">
        <f t="shared" si="52"/>
        <v>97050287</v>
      </c>
      <c r="Y258" s="72">
        <f t="shared" si="52"/>
        <v>0</v>
      </c>
      <c r="Z258" s="88">
        <f t="shared" si="44"/>
        <v>97050287</v>
      </c>
      <c r="AA258" s="71"/>
      <c r="AB258" s="71"/>
      <c r="AC258" s="71"/>
      <c r="AD258" s="70">
        <f>+Z258/W258</f>
        <v>1</v>
      </c>
      <c r="AE258" s="71"/>
      <c r="AF258" s="100">
        <f>+AF257</f>
        <v>0</v>
      </c>
      <c r="AG258" s="99">
        <f>+AG257</f>
        <v>0</v>
      </c>
      <c r="AH258" s="3">
        <f>+AI258/Z258</f>
        <v>0</v>
      </c>
    </row>
    <row r="259" spans="2:35" ht="38.25" x14ac:dyDescent="0.25">
      <c r="B259" s="1222"/>
      <c r="C259" s="1219"/>
      <c r="D259" s="1219"/>
      <c r="E259" s="1229"/>
      <c r="F259" s="1274"/>
      <c r="G259" s="98" t="s">
        <v>30</v>
      </c>
      <c r="H259" s="97" t="s">
        <v>29</v>
      </c>
      <c r="I259" s="97" t="s">
        <v>28</v>
      </c>
      <c r="J259" s="97">
        <v>256</v>
      </c>
      <c r="K259" s="96" t="s">
        <v>27</v>
      </c>
      <c r="L259" s="95" t="s">
        <v>26</v>
      </c>
      <c r="M259" s="95">
        <v>1</v>
      </c>
      <c r="N259" s="95" t="s">
        <v>25</v>
      </c>
      <c r="O259" s="94">
        <v>943071</v>
      </c>
      <c r="P259" s="94"/>
      <c r="Q259" s="94">
        <f>+O259+P259</f>
        <v>943071</v>
      </c>
      <c r="R259" s="93"/>
      <c r="S259" s="93"/>
      <c r="T259" s="93"/>
      <c r="U259" s="93"/>
      <c r="V259" s="92"/>
      <c r="W259" s="91">
        <f>+Q259+V259</f>
        <v>943071</v>
      </c>
      <c r="X259" s="90">
        <v>943071</v>
      </c>
      <c r="Y259" s="89"/>
      <c r="Z259" s="88">
        <f t="shared" si="44"/>
        <v>943071</v>
      </c>
      <c r="AA259" s="87">
        <v>41451</v>
      </c>
      <c r="AB259" s="50">
        <v>64</v>
      </c>
      <c r="AC259" s="86" t="s">
        <v>24</v>
      </c>
      <c r="AD259" s="85"/>
      <c r="AE259" s="50"/>
      <c r="AF259" s="50"/>
      <c r="AG259" s="49"/>
      <c r="AH259" s="3">
        <f>+AI259/Z259</f>
        <v>0</v>
      </c>
      <c r="AI259" s="2">
        <v>0</v>
      </c>
    </row>
    <row r="260" spans="2:35" ht="14.25" customHeight="1" x14ac:dyDescent="0.25">
      <c r="B260" s="1222"/>
      <c r="C260" s="1219"/>
      <c r="D260" s="1219"/>
      <c r="E260" s="1229"/>
      <c r="F260" s="1274"/>
      <c r="G260" s="1239" t="s">
        <v>23</v>
      </c>
      <c r="H260" s="1240"/>
      <c r="I260" s="1240"/>
      <c r="J260" s="1240"/>
      <c r="K260" s="1241"/>
      <c r="L260" s="84"/>
      <c r="M260" s="84"/>
      <c r="N260" s="84"/>
      <c r="O260" s="82">
        <f>SUM(O259:O259)</f>
        <v>943071</v>
      </c>
      <c r="P260" s="83" t="e">
        <f>+P259+#REF!</f>
        <v>#REF!</v>
      </c>
      <c r="Q260" s="83" t="e">
        <f>+O260+P260</f>
        <v>#REF!</v>
      </c>
      <c r="R260" s="83" t="e">
        <f>+R259+#REF!</f>
        <v>#REF!</v>
      </c>
      <c r="S260" s="83" t="e">
        <f>+S259+#REF!</f>
        <v>#REF!</v>
      </c>
      <c r="T260" s="83"/>
      <c r="U260" s="83" t="e">
        <f>+U259+#REF!</f>
        <v>#REF!</v>
      </c>
      <c r="V260" s="83" t="e">
        <f>+V259+#REF!</f>
        <v>#REF!</v>
      </c>
      <c r="W260" s="82" t="e">
        <f>+W259+#REF!+#REF!+#REF!</f>
        <v>#REF!</v>
      </c>
      <c r="X260" s="81" t="e">
        <f>+X259+#REF!+#REF!</f>
        <v>#REF!</v>
      </c>
      <c r="Y260" s="80">
        <f>+Y259</f>
        <v>0</v>
      </c>
      <c r="Z260" s="80" t="e">
        <f t="shared" si="44"/>
        <v>#REF!</v>
      </c>
      <c r="AA260" s="78"/>
      <c r="AB260" s="78"/>
      <c r="AC260" s="78"/>
      <c r="AD260" s="79" t="e">
        <f>+Z260/W260</f>
        <v>#REF!</v>
      </c>
      <c r="AE260" s="78"/>
      <c r="AF260" s="77">
        <f>SUM(AF259:AF259)</f>
        <v>0</v>
      </c>
      <c r="AG260" s="76">
        <f>SUM(AG259:AG259)</f>
        <v>0</v>
      </c>
    </row>
    <row r="261" spans="2:35" ht="16.5" customHeight="1" x14ac:dyDescent="0.25">
      <c r="B261" s="1222"/>
      <c r="C261" s="1219"/>
      <c r="D261" s="1219"/>
      <c r="E261" s="1229"/>
      <c r="F261" s="1275"/>
      <c r="G261" s="1256" t="s">
        <v>22</v>
      </c>
      <c r="H261" s="1257"/>
      <c r="I261" s="1257"/>
      <c r="J261" s="1257"/>
      <c r="K261" s="1257"/>
      <c r="L261" s="1257"/>
      <c r="M261" s="1257"/>
      <c r="N261" s="1258"/>
      <c r="O261" s="74">
        <f>+O260</f>
        <v>943071</v>
      </c>
      <c r="P261" s="74">
        <f>SUM(P259:P259)</f>
        <v>0</v>
      </c>
      <c r="Q261" s="74" t="e">
        <f>+Q260</f>
        <v>#REF!</v>
      </c>
      <c r="R261" s="74">
        <f>SUM(R259:R259)</f>
        <v>0</v>
      </c>
      <c r="S261" s="74">
        <f>SUM(S259:S259)</f>
        <v>0</v>
      </c>
      <c r="T261" s="74"/>
      <c r="U261" s="74">
        <f>SUM(U259:U259)</f>
        <v>0</v>
      </c>
      <c r="V261" s="75">
        <f>+R261+U261</f>
        <v>0</v>
      </c>
      <c r="W261" s="74" t="e">
        <f>+W260</f>
        <v>#REF!</v>
      </c>
      <c r="X261" s="73" t="e">
        <f>+X260</f>
        <v>#REF!</v>
      </c>
      <c r="Y261" s="72">
        <f>+Y260</f>
        <v>0</v>
      </c>
      <c r="Z261" s="72" t="e">
        <f t="shared" si="44"/>
        <v>#REF!</v>
      </c>
      <c r="AA261" s="71"/>
      <c r="AB261" s="71"/>
      <c r="AC261" s="71"/>
      <c r="AD261" s="70" t="e">
        <f>+Z261/W261</f>
        <v>#REF!</v>
      </c>
      <c r="AE261" s="69"/>
      <c r="AF261" s="68">
        <f>+AF260</f>
        <v>0</v>
      </c>
      <c r="AG261" s="67">
        <f>+AG260</f>
        <v>0</v>
      </c>
    </row>
    <row r="262" spans="2:35" ht="20.25" customHeight="1" x14ac:dyDescent="0.25">
      <c r="B262" s="1223"/>
      <c r="C262" s="1267" t="s">
        <v>21</v>
      </c>
      <c r="D262" s="1268"/>
      <c r="E262" s="1268"/>
      <c r="F262" s="1268"/>
      <c r="G262" s="1268"/>
      <c r="H262" s="1268"/>
      <c r="I262" s="1268"/>
      <c r="J262" s="1268"/>
      <c r="K262" s="1269"/>
      <c r="L262" s="66"/>
      <c r="M262" s="66"/>
      <c r="N262" s="66"/>
      <c r="O262" s="65">
        <f>+O258+O261</f>
        <v>97993358</v>
      </c>
      <c r="P262" s="65">
        <f>+P258+P261</f>
        <v>0</v>
      </c>
      <c r="Q262" s="65">
        <f>+O262+P262</f>
        <v>97993358</v>
      </c>
      <c r="R262" s="65">
        <f>+R258+R261</f>
        <v>0</v>
      </c>
      <c r="S262" s="65">
        <f>+S261</f>
        <v>0</v>
      </c>
      <c r="T262" s="65"/>
      <c r="U262" s="65">
        <f>+U261</f>
        <v>0</v>
      </c>
      <c r="V262" s="64">
        <f>+R262+U262</f>
        <v>0</v>
      </c>
      <c r="W262" s="63">
        <f>+Q262+V262</f>
        <v>97993358</v>
      </c>
      <c r="X262" s="62" t="e">
        <f>+X258+X261</f>
        <v>#REF!</v>
      </c>
      <c r="Y262" s="62">
        <f>+Y258+Y261</f>
        <v>0</v>
      </c>
      <c r="Z262" s="61" t="e">
        <f t="shared" si="44"/>
        <v>#REF!</v>
      </c>
      <c r="AA262" s="60"/>
      <c r="AB262" s="60"/>
      <c r="AC262" s="60"/>
      <c r="AD262" s="59" t="e">
        <f>+Z262/W262</f>
        <v>#REF!</v>
      </c>
      <c r="AE262" s="58">
        <v>538000000</v>
      </c>
      <c r="AF262" s="58">
        <f>+AF258+AF261</f>
        <v>0</v>
      </c>
      <c r="AG262" s="57">
        <f>+AG258+AG261</f>
        <v>0</v>
      </c>
    </row>
    <row r="263" spans="2:35" ht="18.75" customHeight="1" x14ac:dyDescent="0.25">
      <c r="B263" s="1270" t="s">
        <v>20</v>
      </c>
      <c r="C263" s="1270"/>
      <c r="D263" s="1270"/>
      <c r="E263" s="1270"/>
      <c r="F263" s="1270"/>
      <c r="G263" s="1270"/>
      <c r="H263" s="1270"/>
      <c r="I263" s="1270"/>
      <c r="J263" s="1270"/>
      <c r="K263" s="1270"/>
      <c r="L263" s="56"/>
      <c r="M263" s="56"/>
      <c r="N263" s="56"/>
      <c r="O263" s="55">
        <f t="shared" ref="O263:Z263" si="53">+O249+O262</f>
        <v>519297855</v>
      </c>
      <c r="P263" s="55">
        <f t="shared" si="53"/>
        <v>0</v>
      </c>
      <c r="Q263" s="55">
        <f t="shared" si="53"/>
        <v>519297855</v>
      </c>
      <c r="R263" s="55">
        <f t="shared" si="53"/>
        <v>0</v>
      </c>
      <c r="S263" s="55">
        <f t="shared" si="53"/>
        <v>0</v>
      </c>
      <c r="T263" s="55">
        <f t="shared" si="53"/>
        <v>0</v>
      </c>
      <c r="U263" s="55">
        <f t="shared" si="53"/>
        <v>0</v>
      </c>
      <c r="V263" s="55">
        <f t="shared" si="53"/>
        <v>0</v>
      </c>
      <c r="W263" s="55">
        <f t="shared" si="53"/>
        <v>519297855</v>
      </c>
      <c r="X263" s="54" t="e">
        <f t="shared" si="53"/>
        <v>#REF!</v>
      </c>
      <c r="Y263" s="54">
        <f t="shared" si="53"/>
        <v>0</v>
      </c>
      <c r="Z263" s="54" t="e">
        <f t="shared" si="53"/>
        <v>#REF!</v>
      </c>
      <c r="AA263" s="53"/>
      <c r="AB263" s="53"/>
      <c r="AC263" s="53"/>
      <c r="AD263" s="52" t="e">
        <f>+Z263/W263</f>
        <v>#REF!</v>
      </c>
      <c r="AE263" s="51"/>
      <c r="AF263" s="50"/>
      <c r="AG263" s="49"/>
    </row>
    <row r="264" spans="2:35" ht="25.5" customHeight="1" x14ac:dyDescent="0.25">
      <c r="B264" s="1266" t="s">
        <v>19</v>
      </c>
      <c r="C264" s="1266"/>
      <c r="D264" s="1266"/>
      <c r="E264" s="1266"/>
      <c r="F264" s="1266"/>
      <c r="G264" s="1266"/>
      <c r="H264" s="1266"/>
      <c r="I264" s="1266"/>
      <c r="J264" s="1266"/>
      <c r="K264" s="1266"/>
      <c r="L264" s="48"/>
      <c r="M264" s="48"/>
      <c r="N264" s="48"/>
      <c r="O264" s="39">
        <f t="shared" ref="O264:V264" si="54">+O98+O160+O205+O228+O249+O262</f>
        <v>4791143855</v>
      </c>
      <c r="P264" s="39" t="e">
        <f t="shared" si="54"/>
        <v>#REF!</v>
      </c>
      <c r="Q264" s="39" t="e">
        <f t="shared" si="54"/>
        <v>#REF!</v>
      </c>
      <c r="R264" s="39">
        <f t="shared" si="54"/>
        <v>964341099</v>
      </c>
      <c r="S264" s="39" t="e">
        <f t="shared" si="54"/>
        <v>#REF!</v>
      </c>
      <c r="T264" s="39">
        <f t="shared" si="54"/>
        <v>479088000</v>
      </c>
      <c r="U264" s="39" t="e">
        <f t="shared" si="54"/>
        <v>#REF!</v>
      </c>
      <c r="V264" s="39" t="e">
        <f t="shared" si="54"/>
        <v>#REF!</v>
      </c>
      <c r="W264" s="39">
        <f>+O264+R264</f>
        <v>5755484954</v>
      </c>
      <c r="X264" s="47" t="e">
        <f>+X98+X160+X205+X228+X249+X262</f>
        <v>#REF!</v>
      </c>
      <c r="Y264" s="47">
        <f>+Y98+Y160+Y205+Y228+Y249+Y262</f>
        <v>928073827</v>
      </c>
      <c r="Z264" s="47" t="e">
        <f>+Z98+Z160+Z205+Z228+Z249+Z262</f>
        <v>#REF!</v>
      </c>
      <c r="AA264" s="46"/>
      <c r="AB264" s="46"/>
      <c r="AC264" s="45"/>
      <c r="AD264" s="44" t="e">
        <f>+Z264/W264</f>
        <v>#REF!</v>
      </c>
      <c r="AE264" s="43">
        <f>+AE228+AE262</f>
        <v>5668823756</v>
      </c>
      <c r="AF264" s="43">
        <f>+AF98+AF160+AF205+AF228+AF249+AF262</f>
        <v>488826000</v>
      </c>
      <c r="AG264" s="42">
        <f>+AG98+AG160+AG205+AG228+AG249+AG262</f>
        <v>488611853</v>
      </c>
    </row>
    <row r="265" spans="2:35" ht="35.25" hidden="1" customHeight="1" x14ac:dyDescent="0.25">
      <c r="B265" s="1265"/>
      <c r="C265" s="1265"/>
      <c r="D265" s="1265"/>
      <c r="E265" s="1265"/>
      <c r="F265" s="1265"/>
      <c r="G265" s="1265"/>
      <c r="H265" s="1265"/>
      <c r="I265" s="1265"/>
      <c r="J265" s="1265"/>
      <c r="K265" s="1265"/>
      <c r="L265" s="1265"/>
      <c r="M265" s="1265"/>
      <c r="N265" s="1265"/>
      <c r="O265" s="1265"/>
      <c r="P265" s="1265"/>
      <c r="Q265" s="1265"/>
      <c r="R265" s="41"/>
      <c r="S265" s="41"/>
      <c r="T265" s="40"/>
      <c r="U265" s="40"/>
      <c r="V265" s="40"/>
      <c r="W265" s="39"/>
      <c r="X265" s="38"/>
      <c r="Y265" s="38"/>
      <c r="Z265" s="37"/>
      <c r="AA265" s="36"/>
      <c r="AB265" s="36"/>
      <c r="AC265" s="36"/>
    </row>
    <row r="266" spans="2:35" ht="18" customHeight="1" x14ac:dyDescent="0.25">
      <c r="G266" s="35"/>
      <c r="H266" s="35"/>
      <c r="I266" s="35"/>
      <c r="J266" s="35"/>
      <c r="K266" s="35"/>
      <c r="L266" s="34"/>
      <c r="M266" s="34"/>
      <c r="N266" s="34"/>
      <c r="O266" s="27"/>
      <c r="P266" s="33"/>
      <c r="Q266" s="30"/>
      <c r="R266" s="32"/>
      <c r="S266" s="31"/>
      <c r="T266" s="30"/>
      <c r="U266" s="29"/>
      <c r="V266" s="28"/>
      <c r="W266" s="27"/>
      <c r="X266" s="6"/>
      <c r="Y266" s="6"/>
      <c r="Z266" s="7"/>
      <c r="AA266" s="6"/>
      <c r="AB266" s="6"/>
      <c r="AC266" s="6"/>
      <c r="AF266" s="26"/>
    </row>
    <row r="267" spans="2:35" ht="39" customHeight="1" x14ac:dyDescent="0.25">
      <c r="G267" s="25"/>
      <c r="H267" s="25"/>
      <c r="I267" s="25"/>
      <c r="J267" s="25"/>
      <c r="K267" s="25"/>
      <c r="L267" s="24"/>
      <c r="M267" s="24"/>
      <c r="N267" s="24"/>
      <c r="O267" s="23"/>
      <c r="P267" s="11"/>
      <c r="Q267" s="21"/>
      <c r="R267" s="22"/>
      <c r="S267" s="21"/>
      <c r="T267" s="21"/>
      <c r="U267" s="11"/>
      <c r="V267" s="11"/>
      <c r="W267" s="20"/>
      <c r="X267" s="19"/>
      <c r="Y267" s="6"/>
      <c r="Z267" s="7"/>
      <c r="AA267" s="6"/>
      <c r="AB267" s="6"/>
      <c r="AC267" s="6"/>
      <c r="AE267" s="11"/>
      <c r="AF267" s="11"/>
      <c r="AG267" s="11"/>
    </row>
    <row r="268" spans="2:35" ht="15" customHeight="1" x14ac:dyDescent="0.25">
      <c r="E268" s="17"/>
      <c r="F268" s="17"/>
      <c r="K268" s="17" t="s">
        <v>11</v>
      </c>
      <c r="L268" s="17"/>
      <c r="M268" s="17"/>
      <c r="O268" s="1254" t="s">
        <v>12</v>
      </c>
      <c r="P268" s="1255"/>
      <c r="Q268" s="1255"/>
      <c r="R268" s="1255"/>
      <c r="S268" s="1255"/>
      <c r="T268" s="1255"/>
      <c r="U268" s="1255"/>
      <c r="V268" s="1255"/>
      <c r="W268" s="1255"/>
      <c r="X268" s="18"/>
      <c r="Y268" s="18"/>
      <c r="Z268" s="18"/>
      <c r="AA268" s="6"/>
      <c r="AB268" s="6"/>
      <c r="AC268" s="6"/>
    </row>
    <row r="269" spans="2:35" ht="15" customHeight="1" x14ac:dyDescent="0.25">
      <c r="E269" s="4"/>
      <c r="F269" s="4"/>
      <c r="G269" s="17"/>
      <c r="K269" s="4" t="s">
        <v>13</v>
      </c>
      <c r="N269" s="17"/>
      <c r="O269" s="1253" t="s">
        <v>14</v>
      </c>
      <c r="P269" s="1253"/>
      <c r="Q269" s="1253"/>
      <c r="R269" s="1253"/>
      <c r="S269" s="1253"/>
      <c r="T269" s="1253"/>
      <c r="U269" s="1253"/>
      <c r="V269" s="1253"/>
      <c r="W269" s="1253"/>
      <c r="X269" s="15"/>
      <c r="Y269" s="15"/>
      <c r="Z269" s="15"/>
      <c r="AA269" s="14"/>
      <c r="AB269" s="6"/>
      <c r="AC269" s="6"/>
      <c r="AD269" s="11"/>
    </row>
    <row r="270" spans="2:35" x14ac:dyDescent="0.25">
      <c r="G270" s="4"/>
      <c r="H270" s="4"/>
      <c r="I270" s="4"/>
      <c r="J270" s="4"/>
      <c r="K270" s="4"/>
      <c r="O270" s="16"/>
      <c r="P270" s="16"/>
      <c r="S270" s="16"/>
      <c r="T270" s="16"/>
      <c r="X270" s="15"/>
      <c r="Y270" s="15"/>
      <c r="Z270" s="15"/>
      <c r="AA270" s="14"/>
      <c r="AB270" s="6"/>
      <c r="AC270" s="6"/>
      <c r="AD270" s="11"/>
    </row>
    <row r="271" spans="2:35" x14ac:dyDescent="0.25">
      <c r="O271" s="13"/>
      <c r="X271" s="10"/>
      <c r="Y271" s="10"/>
      <c r="Z271" s="10"/>
      <c r="AA271" s="6"/>
      <c r="AB271" s="6"/>
      <c r="AC271" s="6"/>
    </row>
    <row r="272" spans="2:35" x14ac:dyDescent="0.25">
      <c r="R272" s="1" t="s">
        <v>18</v>
      </c>
      <c r="X272" s="10"/>
      <c r="Y272" s="10"/>
      <c r="Z272" s="10"/>
      <c r="AA272" s="6"/>
      <c r="AB272" s="6"/>
      <c r="AC272" s="6"/>
    </row>
    <row r="273" spans="15:29" x14ac:dyDescent="0.25">
      <c r="O273" s="12"/>
      <c r="X273" s="10"/>
      <c r="Y273" s="10"/>
      <c r="Z273" s="10"/>
      <c r="AA273" s="6"/>
      <c r="AB273" s="6"/>
      <c r="AC273" s="6"/>
    </row>
    <row r="274" spans="15:29" x14ac:dyDescent="0.25">
      <c r="Q274" s="11"/>
      <c r="X274" s="8"/>
      <c r="Y274" s="8"/>
      <c r="Z274" s="7"/>
      <c r="AA274" s="6"/>
      <c r="AB274" s="6"/>
      <c r="AC274" s="6"/>
    </row>
    <row r="275" spans="15:29" x14ac:dyDescent="0.25">
      <c r="X275" s="5"/>
      <c r="Y275" s="5"/>
      <c r="Z275" s="5"/>
      <c r="AA275" s="5"/>
      <c r="AB275" s="5"/>
      <c r="AC275" s="5"/>
    </row>
    <row r="276" spans="15:29" x14ac:dyDescent="0.25">
      <c r="X276" s="10"/>
      <c r="Y276" s="10"/>
      <c r="Z276" s="10"/>
      <c r="AA276" s="6"/>
      <c r="AB276" s="6"/>
      <c r="AC276" s="9"/>
    </row>
    <row r="277" spans="15:29" x14ac:dyDescent="0.25">
      <c r="X277" s="10"/>
      <c r="Y277" s="10"/>
      <c r="Z277" s="10"/>
      <c r="AA277" s="6"/>
      <c r="AB277" s="6"/>
      <c r="AC277" s="9"/>
    </row>
    <row r="278" spans="15:29" x14ac:dyDescent="0.25">
      <c r="X278" s="8"/>
      <c r="Y278" s="8"/>
      <c r="Z278" s="7"/>
      <c r="AA278" s="6"/>
      <c r="AB278" s="6"/>
      <c r="AC278" s="6"/>
    </row>
    <row r="279" spans="15:29" x14ac:dyDescent="0.25">
      <c r="X279" s="5"/>
      <c r="Y279" s="5"/>
      <c r="Z279" s="5"/>
      <c r="AA279" s="5"/>
      <c r="AB279" s="5"/>
      <c r="AC279" s="5"/>
    </row>
  </sheetData>
  <autoFilter ref="B17:AQ264"/>
  <mergeCells count="221">
    <mergeCell ref="AH16:AH17"/>
    <mergeCell ref="AI16:AI17"/>
    <mergeCell ref="C205:K205"/>
    <mergeCell ref="D206:D227"/>
    <mergeCell ref="G204:N204"/>
    <mergeCell ref="E195:E204"/>
    <mergeCell ref="F195:F204"/>
    <mergeCell ref="G195:G202"/>
    <mergeCell ref="G152:K152"/>
    <mergeCell ref="G154:G157"/>
    <mergeCell ref="H154:H157"/>
    <mergeCell ref="G141:G151"/>
    <mergeCell ref="H141:H151"/>
    <mergeCell ref="G127:G139"/>
    <mergeCell ref="F206:F214"/>
    <mergeCell ref="C16:C17"/>
    <mergeCell ref="D16:D17"/>
    <mergeCell ref="C92:C97"/>
    <mergeCell ref="F116:F126"/>
    <mergeCell ref="D141:D153"/>
    <mergeCell ref="H16:H17"/>
    <mergeCell ref="H206:H226"/>
    <mergeCell ref="G215:G219"/>
    <mergeCell ref="E154:E159"/>
    <mergeCell ref="G119:G124"/>
    <mergeCell ref="D127:D140"/>
    <mergeCell ref="C116:C126"/>
    <mergeCell ref="D116:D126"/>
    <mergeCell ref="B141:B160"/>
    <mergeCell ref="B116:B126"/>
    <mergeCell ref="E127:E140"/>
    <mergeCell ref="G140:K140"/>
    <mergeCell ref="H127:H139"/>
    <mergeCell ref="G159:K159"/>
    <mergeCell ref="X15:Y15"/>
    <mergeCell ref="B229:B244"/>
    <mergeCell ref="C229:C244"/>
    <mergeCell ref="B206:B227"/>
    <mergeCell ref="J16:J17"/>
    <mergeCell ref="G161:G180"/>
    <mergeCell ref="F61:F79"/>
    <mergeCell ref="E61:E79"/>
    <mergeCell ref="D61:D79"/>
    <mergeCell ref="C61:C79"/>
    <mergeCell ref="B61:B79"/>
    <mergeCell ref="F80:F91"/>
    <mergeCell ref="E80:E91"/>
    <mergeCell ref="D80:D91"/>
    <mergeCell ref="C80:C91"/>
    <mergeCell ref="B80:B91"/>
    <mergeCell ref="B16:B17"/>
    <mergeCell ref="B29:B37"/>
    <mergeCell ref="B92:B98"/>
    <mergeCell ref="B127:B140"/>
    <mergeCell ref="B99:B115"/>
    <mergeCell ref="D154:D159"/>
    <mergeCell ref="C127:C140"/>
    <mergeCell ref="H118:L118"/>
    <mergeCell ref="U2:W2"/>
    <mergeCell ref="U3:W3"/>
    <mergeCell ref="H2:S5"/>
    <mergeCell ref="G16:G17"/>
    <mergeCell ref="D11:N11"/>
    <mergeCell ref="D29:D37"/>
    <mergeCell ref="D18:D28"/>
    <mergeCell ref="D15:N15"/>
    <mergeCell ref="H92:H95"/>
    <mergeCell ref="H44:H56"/>
    <mergeCell ref="G58:G59"/>
    <mergeCell ref="H58:H59"/>
    <mergeCell ref="F18:F28"/>
    <mergeCell ref="E16:E17"/>
    <mergeCell ref="G28:N28"/>
    <mergeCell ref="E18:E28"/>
    <mergeCell ref="G29:G36"/>
    <mergeCell ref="H29:H36"/>
    <mergeCell ref="F29:F37"/>
    <mergeCell ref="G37:N37"/>
    <mergeCell ref="G23:N23"/>
    <mergeCell ref="L16:N16"/>
    <mergeCell ref="K16:K17"/>
    <mergeCell ref="H38:H42"/>
    <mergeCell ref="B18:B28"/>
    <mergeCell ref="C29:C37"/>
    <mergeCell ref="C38:C43"/>
    <mergeCell ref="C58:C60"/>
    <mergeCell ref="C99:C115"/>
    <mergeCell ref="E92:E97"/>
    <mergeCell ref="C98:K98"/>
    <mergeCell ref="G100:N100"/>
    <mergeCell ref="G91:K91"/>
    <mergeCell ref="G60:N60"/>
    <mergeCell ref="C44:C57"/>
    <mergeCell ref="B44:B57"/>
    <mergeCell ref="F38:F43"/>
    <mergeCell ref="E38:E43"/>
    <mergeCell ref="D38:D43"/>
    <mergeCell ref="E58:E60"/>
    <mergeCell ref="B58:B60"/>
    <mergeCell ref="C18:C28"/>
    <mergeCell ref="G44:G56"/>
    <mergeCell ref="B38:B43"/>
    <mergeCell ref="F44:F57"/>
    <mergeCell ref="E29:E37"/>
    <mergeCell ref="G26:G27"/>
    <mergeCell ref="E44:E57"/>
    <mergeCell ref="O269:W269"/>
    <mergeCell ref="O268:W268"/>
    <mergeCell ref="G258:N258"/>
    <mergeCell ref="G261:N261"/>
    <mergeCell ref="G229:G241"/>
    <mergeCell ref="H195:H202"/>
    <mergeCell ref="H245:H246"/>
    <mergeCell ref="G260:K260"/>
    <mergeCell ref="G243:K243"/>
    <mergeCell ref="G227:N227"/>
    <mergeCell ref="G248:N248"/>
    <mergeCell ref="G245:G246"/>
    <mergeCell ref="G257:K257"/>
    <mergeCell ref="B265:Q265"/>
    <mergeCell ref="B264:K264"/>
    <mergeCell ref="C262:K262"/>
    <mergeCell ref="B263:K263"/>
    <mergeCell ref="H250:H256"/>
    <mergeCell ref="F250:F261"/>
    <mergeCell ref="G250:G256"/>
    <mergeCell ref="G220:G226"/>
    <mergeCell ref="H229:H241"/>
    <mergeCell ref="G247:K247"/>
    <mergeCell ref="G244:N244"/>
    <mergeCell ref="C250:C261"/>
    <mergeCell ref="C245:C248"/>
    <mergeCell ref="D245:D248"/>
    <mergeCell ref="F245:F248"/>
    <mergeCell ref="E250:E257"/>
    <mergeCell ref="E258:E261"/>
    <mergeCell ref="E215:E227"/>
    <mergeCell ref="E206:E214"/>
    <mergeCell ref="C206:C227"/>
    <mergeCell ref="D229:D244"/>
    <mergeCell ref="C228:N228"/>
    <mergeCell ref="F215:F227"/>
    <mergeCell ref="G206:G214"/>
    <mergeCell ref="F229:F244"/>
    <mergeCell ref="E229:E244"/>
    <mergeCell ref="G193:N193"/>
    <mergeCell ref="F183:F194"/>
    <mergeCell ref="E161:E182"/>
    <mergeCell ref="G203:K203"/>
    <mergeCell ref="H161:H180"/>
    <mergeCell ref="G194:N194"/>
    <mergeCell ref="G181:K181"/>
    <mergeCell ref="G182:N182"/>
    <mergeCell ref="D250:D261"/>
    <mergeCell ref="C195:C204"/>
    <mergeCell ref="D99:D115"/>
    <mergeCell ref="D92:D97"/>
    <mergeCell ref="D58:D60"/>
    <mergeCell ref="F58:F60"/>
    <mergeCell ref="F92:F97"/>
    <mergeCell ref="E116:E126"/>
    <mergeCell ref="C183:C194"/>
    <mergeCell ref="B245:B262"/>
    <mergeCell ref="C141:C159"/>
    <mergeCell ref="F154:F159"/>
    <mergeCell ref="B161:B182"/>
    <mergeCell ref="B195:B204"/>
    <mergeCell ref="B183:B194"/>
    <mergeCell ref="D195:D204"/>
    <mergeCell ref="E245:E248"/>
    <mergeCell ref="C249:K249"/>
    <mergeCell ref="F161:F182"/>
    <mergeCell ref="D161:D182"/>
    <mergeCell ref="C161:C182"/>
    <mergeCell ref="D183:D194"/>
    <mergeCell ref="E183:E194"/>
    <mergeCell ref="H183:H192"/>
    <mergeCell ref="G183:G192"/>
    <mergeCell ref="D44:D57"/>
    <mergeCell ref="G96:N96"/>
    <mergeCell ref="C160:K160"/>
    <mergeCell ref="G158:K158"/>
    <mergeCell ref="G153:K153"/>
    <mergeCell ref="F141:F153"/>
    <mergeCell ref="E141:E153"/>
    <mergeCell ref="F127:F140"/>
    <mergeCell ref="AF16:AF17"/>
    <mergeCell ref="G97:K97"/>
    <mergeCell ref="G116:G118"/>
    <mergeCell ref="F16:F17"/>
    <mergeCell ref="G43:N43"/>
    <mergeCell ref="G92:G95"/>
    <mergeCell ref="G90:N90"/>
    <mergeCell ref="G38:G42"/>
    <mergeCell ref="G126:K126"/>
    <mergeCell ref="E99:E115"/>
    <mergeCell ref="F99:F115"/>
    <mergeCell ref="G101:G114"/>
    <mergeCell ref="H101:H114"/>
    <mergeCell ref="G115:L115"/>
    <mergeCell ref="H116:H117"/>
    <mergeCell ref="H119:H124"/>
    <mergeCell ref="AG16:AG17"/>
    <mergeCell ref="AE16:AE17"/>
    <mergeCell ref="G18:G22"/>
    <mergeCell ref="H18:H22"/>
    <mergeCell ref="G80:G89"/>
    <mergeCell ref="G61:G67"/>
    <mergeCell ref="AD16:AD17"/>
    <mergeCell ref="AC16:AC17"/>
    <mergeCell ref="Z16:Z17"/>
    <mergeCell ref="AA16:AA17"/>
    <mergeCell ref="AB16:AB17"/>
    <mergeCell ref="W16:W17"/>
    <mergeCell ref="G25:N25"/>
    <mergeCell ref="R16:V16"/>
    <mergeCell ref="G57:N57"/>
    <mergeCell ref="O16:Q16"/>
    <mergeCell ref="H26:H27"/>
    <mergeCell ref="H65:H76"/>
    <mergeCell ref="I16:I17"/>
  </mergeCells>
  <printOptions horizontalCentered="1" verticalCentered="1"/>
  <pageMargins left="0" right="0" top="0" bottom="0.98425196850393704" header="0" footer="0.15748031496062992"/>
  <pageSetup paperSize="128" scale="55" orientation="landscape" r:id="rId1"/>
  <headerFooter>
    <oddHeader>&amp;R</oddHeader>
    <oddFooter>&amp;L                                  Elaboró: Marta QuinteroOficina de Planeación.&amp;C&amp;P&amp;RVERSIÓN 11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748"/>
  <sheetViews>
    <sheetView tabSelected="1" view="pageBreakPreview" zoomScale="80" zoomScaleNormal="80" zoomScaleSheetLayoutView="80" workbookViewId="0">
      <selection activeCell="A10" sqref="A10:C10"/>
    </sheetView>
  </sheetViews>
  <sheetFormatPr baseColWidth="10" defaultColWidth="11.42578125" defaultRowHeight="62.25" customHeight="1" x14ac:dyDescent="0.2"/>
  <cols>
    <col min="1" max="1" width="4.7109375" style="623" customWidth="1"/>
    <col min="2" max="2" width="6.140625" style="623" customWidth="1"/>
    <col min="3" max="3" width="5.28515625" style="623" customWidth="1"/>
    <col min="4" max="4" width="7.28515625" style="623" customWidth="1"/>
    <col min="5" max="5" width="5.140625" style="623" customWidth="1"/>
    <col min="6" max="6" width="17" style="624" customWidth="1"/>
    <col min="7" max="7" width="7.28515625" style="624" hidden="1" customWidth="1"/>
    <col min="8" max="8" width="0.140625" style="624" hidden="1" customWidth="1"/>
    <col min="9" max="9" width="73.140625" style="644" customWidth="1"/>
    <col min="10" max="10" width="10.28515625" style="623" bestFit="1" customWidth="1"/>
    <col min="11" max="11" width="11" style="645" customWidth="1"/>
    <col min="12" max="12" width="0.28515625" style="645" hidden="1" customWidth="1"/>
    <col min="13" max="13" width="14" style="645" hidden="1" customWidth="1"/>
    <col min="14" max="14" width="9.85546875" style="623" hidden="1" customWidth="1"/>
    <col min="15" max="15" width="8.85546875" style="623" hidden="1" customWidth="1"/>
    <col min="16" max="16" width="0.140625" style="623" customWidth="1"/>
    <col min="17" max="17" width="10.7109375" style="623" customWidth="1"/>
    <col min="18" max="18" width="9.28515625" style="623" customWidth="1"/>
    <col min="19" max="20" width="7.140625" style="623" customWidth="1"/>
    <col min="21" max="21" width="12.28515625" style="623" customWidth="1"/>
    <col min="22" max="22" width="18" style="623" hidden="1" customWidth="1"/>
    <col min="23" max="23" width="20.42578125" style="672" bestFit="1" customWidth="1"/>
    <col min="24" max="24" width="19.7109375" style="672" customWidth="1"/>
    <col min="25" max="25" width="17.5703125" style="672" customWidth="1"/>
    <col min="26" max="26" width="19.42578125" style="672" customWidth="1"/>
    <col min="27" max="28" width="20.42578125" style="623" customWidth="1"/>
    <col min="29" max="29" width="36" style="623" customWidth="1"/>
    <col min="30" max="30" width="20.85546875" style="623" customWidth="1"/>
    <col min="31" max="31" width="16.85546875" style="623" customWidth="1"/>
    <col min="32" max="32" width="10.5703125" style="623" customWidth="1"/>
    <col min="33" max="33" width="40.42578125" style="623" hidden="1" customWidth="1"/>
    <col min="34" max="34" width="17" style="623" hidden="1" customWidth="1"/>
    <col min="35" max="35" width="17.42578125" style="623" hidden="1" customWidth="1"/>
    <col min="36" max="36" width="21.85546875" style="623" hidden="1" customWidth="1"/>
    <col min="37" max="37" width="17" style="623" hidden="1" customWidth="1"/>
    <col min="38" max="38" width="14.28515625" style="623" customWidth="1"/>
    <col min="39" max="39" width="26.28515625" style="623" customWidth="1"/>
    <col min="40" max="40" width="14.140625" style="623" customWidth="1"/>
    <col min="41" max="172" width="11.42578125" style="623"/>
    <col min="173" max="173" width="1.42578125" style="623" customWidth="1"/>
    <col min="174" max="174" width="7.5703125" style="623" customWidth="1"/>
    <col min="175" max="175" width="4.85546875" style="623" customWidth="1"/>
    <col min="176" max="176" width="8" style="623" customWidth="1"/>
    <col min="177" max="177" width="8.140625" style="623" customWidth="1"/>
    <col min="178" max="178" width="7.28515625" style="623" customWidth="1"/>
    <col min="179" max="179" width="20.7109375" style="623" customWidth="1"/>
    <col min="180" max="180" width="15" style="623" customWidth="1"/>
    <col min="181" max="181" width="0.140625" style="623" customWidth="1"/>
    <col min="182" max="182" width="0" style="623" hidden="1" customWidth="1"/>
    <col min="183" max="183" width="78.85546875" style="623" customWidth="1"/>
    <col min="184" max="184" width="14.140625" style="623" customWidth="1"/>
    <col min="185" max="185" width="0.28515625" style="623" customWidth="1"/>
    <col min="186" max="186" width="11.7109375" style="623" customWidth="1"/>
    <col min="187" max="187" width="8.7109375" style="623" customWidth="1"/>
    <col min="188" max="188" width="0" style="623" hidden="1" customWidth="1"/>
    <col min="189" max="189" width="11.42578125" style="623" customWidth="1"/>
    <col min="190" max="192" width="0" style="623" hidden="1" customWidth="1"/>
    <col min="193" max="193" width="19" style="623" customWidth="1"/>
    <col min="194" max="194" width="17.28515625" style="623" customWidth="1"/>
    <col min="195" max="195" width="19.7109375" style="623" customWidth="1"/>
    <col min="196" max="196" width="20.7109375" style="623" customWidth="1"/>
    <col min="197" max="197" width="13.140625" style="623" bestFit="1" customWidth="1"/>
    <col min="198" max="198" width="21.5703125" style="623" customWidth="1"/>
    <col min="199" max="199" width="16" style="623" bestFit="1" customWidth="1"/>
    <col min="200" max="200" width="13.140625" style="623" bestFit="1" customWidth="1"/>
    <col min="201" max="201" width="38.28515625" style="623" bestFit="1" customWidth="1"/>
    <col min="202" max="202" width="1.28515625" style="623" customWidth="1"/>
    <col min="203" max="203" width="0" style="623" hidden="1" customWidth="1"/>
    <col min="204" max="428" width="11.42578125" style="623"/>
    <col min="429" max="429" width="1.42578125" style="623" customWidth="1"/>
    <col min="430" max="430" width="7.5703125" style="623" customWidth="1"/>
    <col min="431" max="431" width="4.85546875" style="623" customWidth="1"/>
    <col min="432" max="432" width="8" style="623" customWidth="1"/>
    <col min="433" max="433" width="8.140625" style="623" customWidth="1"/>
    <col min="434" max="434" width="7.28515625" style="623" customWidth="1"/>
    <col min="435" max="435" width="20.7109375" style="623" customWidth="1"/>
    <col min="436" max="436" width="15" style="623" customWidth="1"/>
    <col min="437" max="437" width="0.140625" style="623" customWidth="1"/>
    <col min="438" max="438" width="0" style="623" hidden="1" customWidth="1"/>
    <col min="439" max="439" width="78.85546875" style="623" customWidth="1"/>
    <col min="440" max="440" width="14.140625" style="623" customWidth="1"/>
    <col min="441" max="441" width="0.28515625" style="623" customWidth="1"/>
    <col min="442" max="442" width="11.7109375" style="623" customWidth="1"/>
    <col min="443" max="443" width="8.7109375" style="623" customWidth="1"/>
    <col min="444" max="444" width="0" style="623" hidden="1" customWidth="1"/>
    <col min="445" max="445" width="11.42578125" style="623" customWidth="1"/>
    <col min="446" max="448" width="0" style="623" hidden="1" customWidth="1"/>
    <col min="449" max="449" width="19" style="623" customWidth="1"/>
    <col min="450" max="450" width="17.28515625" style="623" customWidth="1"/>
    <col min="451" max="451" width="19.7109375" style="623" customWidth="1"/>
    <col min="452" max="452" width="20.7109375" style="623" customWidth="1"/>
    <col min="453" max="453" width="13.140625" style="623" bestFit="1" customWidth="1"/>
    <col min="454" max="454" width="21.5703125" style="623" customWidth="1"/>
    <col min="455" max="455" width="16" style="623" bestFit="1" customWidth="1"/>
    <col min="456" max="456" width="13.140625" style="623" bestFit="1" customWidth="1"/>
    <col min="457" max="457" width="38.28515625" style="623" bestFit="1" customWidth="1"/>
    <col min="458" max="458" width="1.28515625" style="623" customWidth="1"/>
    <col min="459" max="459" width="0" style="623" hidden="1" customWidth="1"/>
    <col min="460" max="684" width="11.42578125" style="623"/>
    <col min="685" max="685" width="1.42578125" style="623" customWidth="1"/>
    <col min="686" max="686" width="7.5703125" style="623" customWidth="1"/>
    <col min="687" max="687" width="4.85546875" style="623" customWidth="1"/>
    <col min="688" max="688" width="8" style="623" customWidth="1"/>
    <col min="689" max="689" width="8.140625" style="623" customWidth="1"/>
    <col min="690" max="690" width="7.28515625" style="623" customWidth="1"/>
    <col min="691" max="691" width="20.7109375" style="623" customWidth="1"/>
    <col min="692" max="692" width="15" style="623" customWidth="1"/>
    <col min="693" max="693" width="0.140625" style="623" customWidth="1"/>
    <col min="694" max="694" width="0" style="623" hidden="1" customWidth="1"/>
    <col min="695" max="695" width="78.85546875" style="623" customWidth="1"/>
    <col min="696" max="696" width="14.140625" style="623" customWidth="1"/>
    <col min="697" max="697" width="0.28515625" style="623" customWidth="1"/>
    <col min="698" max="698" width="11.7109375" style="623" customWidth="1"/>
    <col min="699" max="699" width="8.7109375" style="623" customWidth="1"/>
    <col min="700" max="700" width="0" style="623" hidden="1" customWidth="1"/>
    <col min="701" max="701" width="11.42578125" style="623" customWidth="1"/>
    <col min="702" max="704" width="0" style="623" hidden="1" customWidth="1"/>
    <col min="705" max="705" width="19" style="623" customWidth="1"/>
    <col min="706" max="706" width="17.28515625" style="623" customWidth="1"/>
    <col min="707" max="707" width="19.7109375" style="623" customWidth="1"/>
    <col min="708" max="708" width="20.7109375" style="623" customWidth="1"/>
    <col min="709" max="709" width="13.140625" style="623" bestFit="1" customWidth="1"/>
    <col min="710" max="710" width="21.5703125" style="623" customWidth="1"/>
    <col min="711" max="711" width="16" style="623" bestFit="1" customWidth="1"/>
    <col min="712" max="712" width="13.140625" style="623" bestFit="1" customWidth="1"/>
    <col min="713" max="713" width="38.28515625" style="623" bestFit="1" customWidth="1"/>
    <col min="714" max="714" width="1.28515625" style="623" customWidth="1"/>
    <col min="715" max="715" width="0" style="623" hidden="1" customWidth="1"/>
    <col min="716" max="940" width="11.42578125" style="623"/>
    <col min="941" max="941" width="1.42578125" style="623" customWidth="1"/>
    <col min="942" max="942" width="7.5703125" style="623" customWidth="1"/>
    <col min="943" max="943" width="4.85546875" style="623" customWidth="1"/>
    <col min="944" max="944" width="8" style="623" customWidth="1"/>
    <col min="945" max="945" width="8.140625" style="623" customWidth="1"/>
    <col min="946" max="946" width="7.28515625" style="623" customWidth="1"/>
    <col min="947" max="947" width="20.7109375" style="623" customWidth="1"/>
    <col min="948" max="948" width="15" style="623" customWidth="1"/>
    <col min="949" max="949" width="0.140625" style="623" customWidth="1"/>
    <col min="950" max="950" width="0" style="623" hidden="1" customWidth="1"/>
    <col min="951" max="951" width="78.85546875" style="623" customWidth="1"/>
    <col min="952" max="952" width="14.140625" style="623" customWidth="1"/>
    <col min="953" max="953" width="0.28515625" style="623" customWidth="1"/>
    <col min="954" max="954" width="11.7109375" style="623" customWidth="1"/>
    <col min="955" max="955" width="8.7109375" style="623" customWidth="1"/>
    <col min="956" max="956" width="0" style="623" hidden="1" customWidth="1"/>
    <col min="957" max="957" width="11.42578125" style="623" customWidth="1"/>
    <col min="958" max="960" width="0" style="623" hidden="1" customWidth="1"/>
    <col min="961" max="961" width="19" style="623" customWidth="1"/>
    <col min="962" max="962" width="17.28515625" style="623" customWidth="1"/>
    <col min="963" max="963" width="19.7109375" style="623" customWidth="1"/>
    <col min="964" max="964" width="20.7109375" style="623" customWidth="1"/>
    <col min="965" max="965" width="13.140625" style="623" bestFit="1" customWidth="1"/>
    <col min="966" max="966" width="21.5703125" style="623" customWidth="1"/>
    <col min="967" max="967" width="16" style="623" bestFit="1" customWidth="1"/>
    <col min="968" max="968" width="13.140625" style="623" bestFit="1" customWidth="1"/>
    <col min="969" max="969" width="38.28515625" style="623" bestFit="1" customWidth="1"/>
    <col min="970" max="970" width="1.28515625" style="623" customWidth="1"/>
    <col min="971" max="971" width="0" style="623" hidden="1" customWidth="1"/>
    <col min="972" max="1196" width="11.42578125" style="623"/>
    <col min="1197" max="1197" width="1.42578125" style="623" customWidth="1"/>
    <col min="1198" max="1198" width="7.5703125" style="623" customWidth="1"/>
    <col min="1199" max="1199" width="4.85546875" style="623" customWidth="1"/>
    <col min="1200" max="1200" width="8" style="623" customWidth="1"/>
    <col min="1201" max="1201" width="8.140625" style="623" customWidth="1"/>
    <col min="1202" max="1202" width="7.28515625" style="623" customWidth="1"/>
    <col min="1203" max="1203" width="20.7109375" style="623" customWidth="1"/>
    <col min="1204" max="1204" width="15" style="623" customWidth="1"/>
    <col min="1205" max="1205" width="0.140625" style="623" customWidth="1"/>
    <col min="1206" max="1206" width="0" style="623" hidden="1" customWidth="1"/>
    <col min="1207" max="1207" width="78.85546875" style="623" customWidth="1"/>
    <col min="1208" max="1208" width="14.140625" style="623" customWidth="1"/>
    <col min="1209" max="1209" width="0.28515625" style="623" customWidth="1"/>
    <col min="1210" max="1210" width="11.7109375" style="623" customWidth="1"/>
    <col min="1211" max="1211" width="8.7109375" style="623" customWidth="1"/>
    <col min="1212" max="1212" width="0" style="623" hidden="1" customWidth="1"/>
    <col min="1213" max="1213" width="11.42578125" style="623" customWidth="1"/>
    <col min="1214" max="1216" width="0" style="623" hidden="1" customWidth="1"/>
    <col min="1217" max="1217" width="19" style="623" customWidth="1"/>
    <col min="1218" max="1218" width="17.28515625" style="623" customWidth="1"/>
    <col min="1219" max="1219" width="19.7109375" style="623" customWidth="1"/>
    <col min="1220" max="1220" width="20.7109375" style="623" customWidth="1"/>
    <col min="1221" max="1221" width="13.140625" style="623" bestFit="1" customWidth="1"/>
    <col min="1222" max="1222" width="21.5703125" style="623" customWidth="1"/>
    <col min="1223" max="1223" width="16" style="623" bestFit="1" customWidth="1"/>
    <col min="1224" max="1224" width="13.140625" style="623" bestFit="1" customWidth="1"/>
    <col min="1225" max="1225" width="38.28515625" style="623" bestFit="1" customWidth="1"/>
    <col min="1226" max="1226" width="1.28515625" style="623" customWidth="1"/>
    <col min="1227" max="1227" width="0" style="623" hidden="1" customWidth="1"/>
    <col min="1228" max="1452" width="11.42578125" style="623"/>
    <col min="1453" max="1453" width="1.42578125" style="623" customWidth="1"/>
    <col min="1454" max="1454" width="7.5703125" style="623" customWidth="1"/>
    <col min="1455" max="1455" width="4.85546875" style="623" customWidth="1"/>
    <col min="1456" max="1456" width="8" style="623" customWidth="1"/>
    <col min="1457" max="1457" width="8.140625" style="623" customWidth="1"/>
    <col min="1458" max="1458" width="7.28515625" style="623" customWidth="1"/>
    <col min="1459" max="1459" width="20.7109375" style="623" customWidth="1"/>
    <col min="1460" max="1460" width="15" style="623" customWidth="1"/>
    <col min="1461" max="1461" width="0.140625" style="623" customWidth="1"/>
    <col min="1462" max="1462" width="0" style="623" hidden="1" customWidth="1"/>
    <col min="1463" max="1463" width="78.85546875" style="623" customWidth="1"/>
    <col min="1464" max="1464" width="14.140625" style="623" customWidth="1"/>
    <col min="1465" max="1465" width="0.28515625" style="623" customWidth="1"/>
    <col min="1466" max="1466" width="11.7109375" style="623" customWidth="1"/>
    <col min="1467" max="1467" width="8.7109375" style="623" customWidth="1"/>
    <col min="1468" max="1468" width="0" style="623" hidden="1" customWidth="1"/>
    <col min="1469" max="1469" width="11.42578125" style="623" customWidth="1"/>
    <col min="1470" max="1472" width="0" style="623" hidden="1" customWidth="1"/>
    <col min="1473" max="1473" width="19" style="623" customWidth="1"/>
    <col min="1474" max="1474" width="17.28515625" style="623" customWidth="1"/>
    <col min="1475" max="1475" width="19.7109375" style="623" customWidth="1"/>
    <col min="1476" max="1476" width="20.7109375" style="623" customWidth="1"/>
    <col min="1477" max="1477" width="13.140625" style="623" bestFit="1" customWidth="1"/>
    <col min="1478" max="1478" width="21.5703125" style="623" customWidth="1"/>
    <col min="1479" max="1479" width="16" style="623" bestFit="1" customWidth="1"/>
    <col min="1480" max="1480" width="13.140625" style="623" bestFit="1" customWidth="1"/>
    <col min="1481" max="1481" width="38.28515625" style="623" bestFit="1" customWidth="1"/>
    <col min="1482" max="1482" width="1.28515625" style="623" customWidth="1"/>
    <col min="1483" max="1483" width="0" style="623" hidden="1" customWidth="1"/>
    <col min="1484" max="1708" width="11.42578125" style="623"/>
    <col min="1709" max="1709" width="1.42578125" style="623" customWidth="1"/>
    <col min="1710" max="1710" width="7.5703125" style="623" customWidth="1"/>
    <col min="1711" max="1711" width="4.85546875" style="623" customWidth="1"/>
    <col min="1712" max="1712" width="8" style="623" customWidth="1"/>
    <col min="1713" max="1713" width="8.140625" style="623" customWidth="1"/>
    <col min="1714" max="1714" width="7.28515625" style="623" customWidth="1"/>
    <col min="1715" max="1715" width="20.7109375" style="623" customWidth="1"/>
    <col min="1716" max="1716" width="15" style="623" customWidth="1"/>
    <col min="1717" max="1717" width="0.140625" style="623" customWidth="1"/>
    <col min="1718" max="1718" width="0" style="623" hidden="1" customWidth="1"/>
    <col min="1719" max="1719" width="78.85546875" style="623" customWidth="1"/>
    <col min="1720" max="1720" width="14.140625" style="623" customWidth="1"/>
    <col min="1721" max="1721" width="0.28515625" style="623" customWidth="1"/>
    <col min="1722" max="1722" width="11.7109375" style="623" customWidth="1"/>
    <col min="1723" max="1723" width="8.7109375" style="623" customWidth="1"/>
    <col min="1724" max="1724" width="0" style="623" hidden="1" customWidth="1"/>
    <col min="1725" max="1725" width="11.42578125" style="623" customWidth="1"/>
    <col min="1726" max="1728" width="0" style="623" hidden="1" customWidth="1"/>
    <col min="1729" max="1729" width="19" style="623" customWidth="1"/>
    <col min="1730" max="1730" width="17.28515625" style="623" customWidth="1"/>
    <col min="1731" max="1731" width="19.7109375" style="623" customWidth="1"/>
    <col min="1732" max="1732" width="20.7109375" style="623" customWidth="1"/>
    <col min="1733" max="1733" width="13.140625" style="623" bestFit="1" customWidth="1"/>
    <col min="1734" max="1734" width="21.5703125" style="623" customWidth="1"/>
    <col min="1735" max="1735" width="16" style="623" bestFit="1" customWidth="1"/>
    <col min="1736" max="1736" width="13.140625" style="623" bestFit="1" customWidth="1"/>
    <col min="1737" max="1737" width="38.28515625" style="623" bestFit="1" customWidth="1"/>
    <col min="1738" max="1738" width="1.28515625" style="623" customWidth="1"/>
    <col min="1739" max="1739" width="0" style="623" hidden="1" customWidth="1"/>
    <col min="1740" max="1964" width="11.42578125" style="623"/>
    <col min="1965" max="1965" width="1.42578125" style="623" customWidth="1"/>
    <col min="1966" max="1966" width="7.5703125" style="623" customWidth="1"/>
    <col min="1967" max="1967" width="4.85546875" style="623" customWidth="1"/>
    <col min="1968" max="1968" width="8" style="623" customWidth="1"/>
    <col min="1969" max="1969" width="8.140625" style="623" customWidth="1"/>
    <col min="1970" max="1970" width="7.28515625" style="623" customWidth="1"/>
    <col min="1971" max="1971" width="20.7109375" style="623" customWidth="1"/>
    <col min="1972" max="1972" width="15" style="623" customWidth="1"/>
    <col min="1973" max="1973" width="0.140625" style="623" customWidth="1"/>
    <col min="1974" max="1974" width="0" style="623" hidden="1" customWidth="1"/>
    <col min="1975" max="1975" width="78.85546875" style="623" customWidth="1"/>
    <col min="1976" max="1976" width="14.140625" style="623" customWidth="1"/>
    <col min="1977" max="1977" width="0.28515625" style="623" customWidth="1"/>
    <col min="1978" max="1978" width="11.7109375" style="623" customWidth="1"/>
    <col min="1979" max="1979" width="8.7109375" style="623" customWidth="1"/>
    <col min="1980" max="1980" width="0" style="623" hidden="1" customWidth="1"/>
    <col min="1981" max="1981" width="11.42578125" style="623" customWidth="1"/>
    <col min="1982" max="1984" width="0" style="623" hidden="1" customWidth="1"/>
    <col min="1985" max="1985" width="19" style="623" customWidth="1"/>
    <col min="1986" max="1986" width="17.28515625" style="623" customWidth="1"/>
    <col min="1987" max="1987" width="19.7109375" style="623" customWidth="1"/>
    <col min="1988" max="1988" width="20.7109375" style="623" customWidth="1"/>
    <col min="1989" max="1989" width="13.140625" style="623" bestFit="1" customWidth="1"/>
    <col min="1990" max="1990" width="21.5703125" style="623" customWidth="1"/>
    <col min="1991" max="1991" width="16" style="623" bestFit="1" customWidth="1"/>
    <col min="1992" max="1992" width="13.140625" style="623" bestFit="1" customWidth="1"/>
    <col min="1993" max="1993" width="38.28515625" style="623" bestFit="1" customWidth="1"/>
    <col min="1994" max="1994" width="1.28515625" style="623" customWidth="1"/>
    <col min="1995" max="1995" width="0" style="623" hidden="1" customWidth="1"/>
    <col min="1996" max="2220" width="11.42578125" style="623"/>
    <col min="2221" max="2221" width="1.42578125" style="623" customWidth="1"/>
    <col min="2222" max="2222" width="7.5703125" style="623" customWidth="1"/>
    <col min="2223" max="2223" width="4.85546875" style="623" customWidth="1"/>
    <col min="2224" max="2224" width="8" style="623" customWidth="1"/>
    <col min="2225" max="2225" width="8.140625" style="623" customWidth="1"/>
    <col min="2226" max="2226" width="7.28515625" style="623" customWidth="1"/>
    <col min="2227" max="2227" width="20.7109375" style="623" customWidth="1"/>
    <col min="2228" max="2228" width="15" style="623" customWidth="1"/>
    <col min="2229" max="2229" width="0.140625" style="623" customWidth="1"/>
    <col min="2230" max="2230" width="0" style="623" hidden="1" customWidth="1"/>
    <col min="2231" max="2231" width="78.85546875" style="623" customWidth="1"/>
    <col min="2232" max="2232" width="14.140625" style="623" customWidth="1"/>
    <col min="2233" max="2233" width="0.28515625" style="623" customWidth="1"/>
    <col min="2234" max="2234" width="11.7109375" style="623" customWidth="1"/>
    <col min="2235" max="2235" width="8.7109375" style="623" customWidth="1"/>
    <col min="2236" max="2236" width="0" style="623" hidden="1" customWidth="1"/>
    <col min="2237" max="2237" width="11.42578125" style="623" customWidth="1"/>
    <col min="2238" max="2240" width="0" style="623" hidden="1" customWidth="1"/>
    <col min="2241" max="2241" width="19" style="623" customWidth="1"/>
    <col min="2242" max="2242" width="17.28515625" style="623" customWidth="1"/>
    <col min="2243" max="2243" width="19.7109375" style="623" customWidth="1"/>
    <col min="2244" max="2244" width="20.7109375" style="623" customWidth="1"/>
    <col min="2245" max="2245" width="13.140625" style="623" bestFit="1" customWidth="1"/>
    <col min="2246" max="2246" width="21.5703125" style="623" customWidth="1"/>
    <col min="2247" max="2247" width="16" style="623" bestFit="1" customWidth="1"/>
    <col min="2248" max="2248" width="13.140625" style="623" bestFit="1" customWidth="1"/>
    <col min="2249" max="2249" width="38.28515625" style="623" bestFit="1" customWidth="1"/>
    <col min="2250" max="2250" width="1.28515625" style="623" customWidth="1"/>
    <col min="2251" max="2251" width="0" style="623" hidden="1" customWidth="1"/>
    <col min="2252" max="2476" width="11.42578125" style="623"/>
    <col min="2477" max="2477" width="1.42578125" style="623" customWidth="1"/>
    <col min="2478" max="2478" width="7.5703125" style="623" customWidth="1"/>
    <col min="2479" max="2479" width="4.85546875" style="623" customWidth="1"/>
    <col min="2480" max="2480" width="8" style="623" customWidth="1"/>
    <col min="2481" max="2481" width="8.140625" style="623" customWidth="1"/>
    <col min="2482" max="2482" width="7.28515625" style="623" customWidth="1"/>
    <col min="2483" max="2483" width="20.7109375" style="623" customWidth="1"/>
    <col min="2484" max="2484" width="15" style="623" customWidth="1"/>
    <col min="2485" max="2485" width="0.140625" style="623" customWidth="1"/>
    <col min="2486" max="2486" width="0" style="623" hidden="1" customWidth="1"/>
    <col min="2487" max="2487" width="78.85546875" style="623" customWidth="1"/>
    <col min="2488" max="2488" width="14.140625" style="623" customWidth="1"/>
    <col min="2489" max="2489" width="0.28515625" style="623" customWidth="1"/>
    <col min="2490" max="2490" width="11.7109375" style="623" customWidth="1"/>
    <col min="2491" max="2491" width="8.7109375" style="623" customWidth="1"/>
    <col min="2492" max="2492" width="0" style="623" hidden="1" customWidth="1"/>
    <col min="2493" max="2493" width="11.42578125" style="623" customWidth="1"/>
    <col min="2494" max="2496" width="0" style="623" hidden="1" customWidth="1"/>
    <col min="2497" max="2497" width="19" style="623" customWidth="1"/>
    <col min="2498" max="2498" width="17.28515625" style="623" customWidth="1"/>
    <col min="2499" max="2499" width="19.7109375" style="623" customWidth="1"/>
    <col min="2500" max="2500" width="20.7109375" style="623" customWidth="1"/>
    <col min="2501" max="2501" width="13.140625" style="623" bestFit="1" customWidth="1"/>
    <col min="2502" max="2502" width="21.5703125" style="623" customWidth="1"/>
    <col min="2503" max="2503" width="16" style="623" bestFit="1" customWidth="1"/>
    <col min="2504" max="2504" width="13.140625" style="623" bestFit="1" customWidth="1"/>
    <col min="2505" max="2505" width="38.28515625" style="623" bestFit="1" customWidth="1"/>
    <col min="2506" max="2506" width="1.28515625" style="623" customWidth="1"/>
    <col min="2507" max="2507" width="0" style="623" hidden="1" customWidth="1"/>
    <col min="2508" max="2732" width="11.42578125" style="623"/>
    <col min="2733" max="2733" width="1.42578125" style="623" customWidth="1"/>
    <col min="2734" max="2734" width="7.5703125" style="623" customWidth="1"/>
    <col min="2735" max="2735" width="4.85546875" style="623" customWidth="1"/>
    <col min="2736" max="2736" width="8" style="623" customWidth="1"/>
    <col min="2737" max="2737" width="8.140625" style="623" customWidth="1"/>
    <col min="2738" max="2738" width="7.28515625" style="623" customWidth="1"/>
    <col min="2739" max="2739" width="20.7109375" style="623" customWidth="1"/>
    <col min="2740" max="2740" width="15" style="623" customWidth="1"/>
    <col min="2741" max="2741" width="0.140625" style="623" customWidth="1"/>
    <col min="2742" max="2742" width="0" style="623" hidden="1" customWidth="1"/>
    <col min="2743" max="2743" width="78.85546875" style="623" customWidth="1"/>
    <col min="2744" max="2744" width="14.140625" style="623" customWidth="1"/>
    <col min="2745" max="2745" width="0.28515625" style="623" customWidth="1"/>
    <col min="2746" max="2746" width="11.7109375" style="623" customWidth="1"/>
    <col min="2747" max="2747" width="8.7109375" style="623" customWidth="1"/>
    <col min="2748" max="2748" width="0" style="623" hidden="1" customWidth="1"/>
    <col min="2749" max="2749" width="11.42578125" style="623" customWidth="1"/>
    <col min="2750" max="2752" width="0" style="623" hidden="1" customWidth="1"/>
    <col min="2753" max="2753" width="19" style="623" customWidth="1"/>
    <col min="2754" max="2754" width="17.28515625" style="623" customWidth="1"/>
    <col min="2755" max="2755" width="19.7109375" style="623" customWidth="1"/>
    <col min="2756" max="2756" width="20.7109375" style="623" customWidth="1"/>
    <col min="2757" max="2757" width="13.140625" style="623" bestFit="1" customWidth="1"/>
    <col min="2758" max="2758" width="21.5703125" style="623" customWidth="1"/>
    <col min="2759" max="2759" width="16" style="623" bestFit="1" customWidth="1"/>
    <col min="2760" max="2760" width="13.140625" style="623" bestFit="1" customWidth="1"/>
    <col min="2761" max="2761" width="38.28515625" style="623" bestFit="1" customWidth="1"/>
    <col min="2762" max="2762" width="1.28515625" style="623" customWidth="1"/>
    <col min="2763" max="2763" width="0" style="623" hidden="1" customWidth="1"/>
    <col min="2764" max="2988" width="11.42578125" style="623"/>
    <col min="2989" max="2989" width="1.42578125" style="623" customWidth="1"/>
    <col min="2990" max="2990" width="7.5703125" style="623" customWidth="1"/>
    <col min="2991" max="2991" width="4.85546875" style="623" customWidth="1"/>
    <col min="2992" max="2992" width="8" style="623" customWidth="1"/>
    <col min="2993" max="2993" width="8.140625" style="623" customWidth="1"/>
    <col min="2994" max="2994" width="7.28515625" style="623" customWidth="1"/>
    <col min="2995" max="2995" width="20.7109375" style="623" customWidth="1"/>
    <col min="2996" max="2996" width="15" style="623" customWidth="1"/>
    <col min="2997" max="2997" width="0.140625" style="623" customWidth="1"/>
    <col min="2998" max="2998" width="0" style="623" hidden="1" customWidth="1"/>
    <col min="2999" max="2999" width="78.85546875" style="623" customWidth="1"/>
    <col min="3000" max="3000" width="14.140625" style="623" customWidth="1"/>
    <col min="3001" max="3001" width="0.28515625" style="623" customWidth="1"/>
    <col min="3002" max="3002" width="11.7109375" style="623" customWidth="1"/>
    <col min="3003" max="3003" width="8.7109375" style="623" customWidth="1"/>
    <col min="3004" max="3004" width="0" style="623" hidden="1" customWidth="1"/>
    <col min="3005" max="3005" width="11.42578125" style="623" customWidth="1"/>
    <col min="3006" max="3008" width="0" style="623" hidden="1" customWidth="1"/>
    <col min="3009" max="3009" width="19" style="623" customWidth="1"/>
    <col min="3010" max="3010" width="17.28515625" style="623" customWidth="1"/>
    <col min="3011" max="3011" width="19.7109375" style="623" customWidth="1"/>
    <col min="3012" max="3012" width="20.7109375" style="623" customWidth="1"/>
    <col min="3013" max="3013" width="13.140625" style="623" bestFit="1" customWidth="1"/>
    <col min="3014" max="3014" width="21.5703125" style="623" customWidth="1"/>
    <col min="3015" max="3015" width="16" style="623" bestFit="1" customWidth="1"/>
    <col min="3016" max="3016" width="13.140625" style="623" bestFit="1" customWidth="1"/>
    <col min="3017" max="3017" width="38.28515625" style="623" bestFit="1" customWidth="1"/>
    <col min="3018" max="3018" width="1.28515625" style="623" customWidth="1"/>
    <col min="3019" max="3019" width="0" style="623" hidden="1" customWidth="1"/>
    <col min="3020" max="3244" width="11.42578125" style="623"/>
    <col min="3245" max="3245" width="1.42578125" style="623" customWidth="1"/>
    <col min="3246" max="3246" width="7.5703125" style="623" customWidth="1"/>
    <col min="3247" max="3247" width="4.85546875" style="623" customWidth="1"/>
    <col min="3248" max="3248" width="8" style="623" customWidth="1"/>
    <col min="3249" max="3249" width="8.140625" style="623" customWidth="1"/>
    <col min="3250" max="3250" width="7.28515625" style="623" customWidth="1"/>
    <col min="3251" max="3251" width="20.7109375" style="623" customWidth="1"/>
    <col min="3252" max="3252" width="15" style="623" customWidth="1"/>
    <col min="3253" max="3253" width="0.140625" style="623" customWidth="1"/>
    <col min="3254" max="3254" width="0" style="623" hidden="1" customWidth="1"/>
    <col min="3255" max="3255" width="78.85546875" style="623" customWidth="1"/>
    <col min="3256" max="3256" width="14.140625" style="623" customWidth="1"/>
    <col min="3257" max="3257" width="0.28515625" style="623" customWidth="1"/>
    <col min="3258" max="3258" width="11.7109375" style="623" customWidth="1"/>
    <col min="3259" max="3259" width="8.7109375" style="623" customWidth="1"/>
    <col min="3260" max="3260" width="0" style="623" hidden="1" customWidth="1"/>
    <col min="3261" max="3261" width="11.42578125" style="623" customWidth="1"/>
    <col min="3262" max="3264" width="0" style="623" hidden="1" customWidth="1"/>
    <col min="3265" max="3265" width="19" style="623" customWidth="1"/>
    <col min="3266" max="3266" width="17.28515625" style="623" customWidth="1"/>
    <col min="3267" max="3267" width="19.7109375" style="623" customWidth="1"/>
    <col min="3268" max="3268" width="20.7109375" style="623" customWidth="1"/>
    <col min="3269" max="3269" width="13.140625" style="623" bestFit="1" customWidth="1"/>
    <col min="3270" max="3270" width="21.5703125" style="623" customWidth="1"/>
    <col min="3271" max="3271" width="16" style="623" bestFit="1" customWidth="1"/>
    <col min="3272" max="3272" width="13.140625" style="623" bestFit="1" customWidth="1"/>
    <col min="3273" max="3273" width="38.28515625" style="623" bestFit="1" customWidth="1"/>
    <col min="3274" max="3274" width="1.28515625" style="623" customWidth="1"/>
    <col min="3275" max="3275" width="0" style="623" hidden="1" customWidth="1"/>
    <col min="3276" max="3500" width="11.42578125" style="623"/>
    <col min="3501" max="3501" width="1.42578125" style="623" customWidth="1"/>
    <col min="3502" max="3502" width="7.5703125" style="623" customWidth="1"/>
    <col min="3503" max="3503" width="4.85546875" style="623" customWidth="1"/>
    <col min="3504" max="3504" width="8" style="623" customWidth="1"/>
    <col min="3505" max="3505" width="8.140625" style="623" customWidth="1"/>
    <col min="3506" max="3506" width="7.28515625" style="623" customWidth="1"/>
    <col min="3507" max="3507" width="20.7109375" style="623" customWidth="1"/>
    <col min="3508" max="3508" width="15" style="623" customWidth="1"/>
    <col min="3509" max="3509" width="0.140625" style="623" customWidth="1"/>
    <col min="3510" max="3510" width="0" style="623" hidden="1" customWidth="1"/>
    <col min="3511" max="3511" width="78.85546875" style="623" customWidth="1"/>
    <col min="3512" max="3512" width="14.140625" style="623" customWidth="1"/>
    <col min="3513" max="3513" width="0.28515625" style="623" customWidth="1"/>
    <col min="3514" max="3514" width="11.7109375" style="623" customWidth="1"/>
    <col min="3515" max="3515" width="8.7109375" style="623" customWidth="1"/>
    <col min="3516" max="3516" width="0" style="623" hidden="1" customWidth="1"/>
    <col min="3517" max="3517" width="11.42578125" style="623" customWidth="1"/>
    <col min="3518" max="3520" width="0" style="623" hidden="1" customWidth="1"/>
    <col min="3521" max="3521" width="19" style="623" customWidth="1"/>
    <col min="3522" max="3522" width="17.28515625" style="623" customWidth="1"/>
    <col min="3523" max="3523" width="19.7109375" style="623" customWidth="1"/>
    <col min="3524" max="3524" width="20.7109375" style="623" customWidth="1"/>
    <col min="3525" max="3525" width="13.140625" style="623" bestFit="1" customWidth="1"/>
    <col min="3526" max="3526" width="21.5703125" style="623" customWidth="1"/>
    <col min="3527" max="3527" width="16" style="623" bestFit="1" customWidth="1"/>
    <col min="3528" max="3528" width="13.140625" style="623" bestFit="1" customWidth="1"/>
    <col min="3529" max="3529" width="38.28515625" style="623" bestFit="1" customWidth="1"/>
    <col min="3530" max="3530" width="1.28515625" style="623" customWidth="1"/>
    <col min="3531" max="3531" width="0" style="623" hidden="1" customWidth="1"/>
    <col min="3532" max="3756" width="11.42578125" style="623"/>
    <col min="3757" max="3757" width="1.42578125" style="623" customWidth="1"/>
    <col min="3758" max="3758" width="7.5703125" style="623" customWidth="1"/>
    <col min="3759" max="3759" width="4.85546875" style="623" customWidth="1"/>
    <col min="3760" max="3760" width="8" style="623" customWidth="1"/>
    <col min="3761" max="3761" width="8.140625" style="623" customWidth="1"/>
    <col min="3762" max="3762" width="7.28515625" style="623" customWidth="1"/>
    <col min="3763" max="3763" width="20.7109375" style="623" customWidth="1"/>
    <col min="3764" max="3764" width="15" style="623" customWidth="1"/>
    <col min="3765" max="3765" width="0.140625" style="623" customWidth="1"/>
    <col min="3766" max="3766" width="0" style="623" hidden="1" customWidth="1"/>
    <col min="3767" max="3767" width="78.85546875" style="623" customWidth="1"/>
    <col min="3768" max="3768" width="14.140625" style="623" customWidth="1"/>
    <col min="3769" max="3769" width="0.28515625" style="623" customWidth="1"/>
    <col min="3770" max="3770" width="11.7109375" style="623" customWidth="1"/>
    <col min="3771" max="3771" width="8.7109375" style="623" customWidth="1"/>
    <col min="3772" max="3772" width="0" style="623" hidden="1" customWidth="1"/>
    <col min="3773" max="3773" width="11.42578125" style="623" customWidth="1"/>
    <col min="3774" max="3776" width="0" style="623" hidden="1" customWidth="1"/>
    <col min="3777" max="3777" width="19" style="623" customWidth="1"/>
    <col min="3778" max="3778" width="17.28515625" style="623" customWidth="1"/>
    <col min="3779" max="3779" width="19.7109375" style="623" customWidth="1"/>
    <col min="3780" max="3780" width="20.7109375" style="623" customWidth="1"/>
    <col min="3781" max="3781" width="13.140625" style="623" bestFit="1" customWidth="1"/>
    <col min="3782" max="3782" width="21.5703125" style="623" customWidth="1"/>
    <col min="3783" max="3783" width="16" style="623" bestFit="1" customWidth="1"/>
    <col min="3784" max="3784" width="13.140625" style="623" bestFit="1" customWidth="1"/>
    <col min="3785" max="3785" width="38.28515625" style="623" bestFit="1" customWidth="1"/>
    <col min="3786" max="3786" width="1.28515625" style="623" customWidth="1"/>
    <col min="3787" max="3787" width="0" style="623" hidden="1" customWidth="1"/>
    <col min="3788" max="4012" width="11.42578125" style="623"/>
    <col min="4013" max="4013" width="1.42578125" style="623" customWidth="1"/>
    <col min="4014" max="4014" width="7.5703125" style="623" customWidth="1"/>
    <col min="4015" max="4015" width="4.85546875" style="623" customWidth="1"/>
    <col min="4016" max="4016" width="8" style="623" customWidth="1"/>
    <col min="4017" max="4017" width="8.140625" style="623" customWidth="1"/>
    <col min="4018" max="4018" width="7.28515625" style="623" customWidth="1"/>
    <col min="4019" max="4019" width="20.7109375" style="623" customWidth="1"/>
    <col min="4020" max="4020" width="15" style="623" customWidth="1"/>
    <col min="4021" max="4021" width="0.140625" style="623" customWidth="1"/>
    <col min="4022" max="4022" width="0" style="623" hidden="1" customWidth="1"/>
    <col min="4023" max="4023" width="78.85546875" style="623" customWidth="1"/>
    <col min="4024" max="4024" width="14.140625" style="623" customWidth="1"/>
    <col min="4025" max="4025" width="0.28515625" style="623" customWidth="1"/>
    <col min="4026" max="4026" width="11.7109375" style="623" customWidth="1"/>
    <col min="4027" max="4027" width="8.7109375" style="623" customWidth="1"/>
    <col min="4028" max="4028" width="0" style="623" hidden="1" customWidth="1"/>
    <col min="4029" max="4029" width="11.42578125" style="623" customWidth="1"/>
    <col min="4030" max="4032" width="0" style="623" hidden="1" customWidth="1"/>
    <col min="4033" max="4033" width="19" style="623" customWidth="1"/>
    <col min="4034" max="4034" width="17.28515625" style="623" customWidth="1"/>
    <col min="4035" max="4035" width="19.7109375" style="623" customWidth="1"/>
    <col min="4036" max="4036" width="20.7109375" style="623" customWidth="1"/>
    <col min="4037" max="4037" width="13.140625" style="623" bestFit="1" customWidth="1"/>
    <col min="4038" max="4038" width="21.5703125" style="623" customWidth="1"/>
    <col min="4039" max="4039" width="16" style="623" bestFit="1" customWidth="1"/>
    <col min="4040" max="4040" width="13.140625" style="623" bestFit="1" customWidth="1"/>
    <col min="4041" max="4041" width="38.28515625" style="623" bestFit="1" customWidth="1"/>
    <col min="4042" max="4042" width="1.28515625" style="623" customWidth="1"/>
    <col min="4043" max="4043" width="0" style="623" hidden="1" customWidth="1"/>
    <col min="4044" max="4268" width="11.42578125" style="623"/>
    <col min="4269" max="4269" width="1.42578125" style="623" customWidth="1"/>
    <col min="4270" max="4270" width="7.5703125" style="623" customWidth="1"/>
    <col min="4271" max="4271" width="4.85546875" style="623" customWidth="1"/>
    <col min="4272" max="4272" width="8" style="623" customWidth="1"/>
    <col min="4273" max="4273" width="8.140625" style="623" customWidth="1"/>
    <col min="4274" max="4274" width="7.28515625" style="623" customWidth="1"/>
    <col min="4275" max="4275" width="20.7109375" style="623" customWidth="1"/>
    <col min="4276" max="4276" width="15" style="623" customWidth="1"/>
    <col min="4277" max="4277" width="0.140625" style="623" customWidth="1"/>
    <col min="4278" max="4278" width="0" style="623" hidden="1" customWidth="1"/>
    <col min="4279" max="4279" width="78.85546875" style="623" customWidth="1"/>
    <col min="4280" max="4280" width="14.140625" style="623" customWidth="1"/>
    <col min="4281" max="4281" width="0.28515625" style="623" customWidth="1"/>
    <col min="4282" max="4282" width="11.7109375" style="623" customWidth="1"/>
    <col min="4283" max="4283" width="8.7109375" style="623" customWidth="1"/>
    <col min="4284" max="4284" width="0" style="623" hidden="1" customWidth="1"/>
    <col min="4285" max="4285" width="11.42578125" style="623" customWidth="1"/>
    <col min="4286" max="4288" width="0" style="623" hidden="1" customWidth="1"/>
    <col min="4289" max="4289" width="19" style="623" customWidth="1"/>
    <col min="4290" max="4290" width="17.28515625" style="623" customWidth="1"/>
    <col min="4291" max="4291" width="19.7109375" style="623" customWidth="1"/>
    <col min="4292" max="4292" width="20.7109375" style="623" customWidth="1"/>
    <col min="4293" max="4293" width="13.140625" style="623" bestFit="1" customWidth="1"/>
    <col min="4294" max="4294" width="21.5703125" style="623" customWidth="1"/>
    <col min="4295" max="4295" width="16" style="623" bestFit="1" customWidth="1"/>
    <col min="4296" max="4296" width="13.140625" style="623" bestFit="1" customWidth="1"/>
    <col min="4297" max="4297" width="38.28515625" style="623" bestFit="1" customWidth="1"/>
    <col min="4298" max="4298" width="1.28515625" style="623" customWidth="1"/>
    <col min="4299" max="4299" width="0" style="623" hidden="1" customWidth="1"/>
    <col min="4300" max="4524" width="11.42578125" style="623"/>
    <col min="4525" max="4525" width="1.42578125" style="623" customWidth="1"/>
    <col min="4526" max="4526" width="7.5703125" style="623" customWidth="1"/>
    <col min="4527" max="4527" width="4.85546875" style="623" customWidth="1"/>
    <col min="4528" max="4528" width="8" style="623" customWidth="1"/>
    <col min="4529" max="4529" width="8.140625" style="623" customWidth="1"/>
    <col min="4530" max="4530" width="7.28515625" style="623" customWidth="1"/>
    <col min="4531" max="4531" width="20.7109375" style="623" customWidth="1"/>
    <col min="4532" max="4532" width="15" style="623" customWidth="1"/>
    <col min="4533" max="4533" width="0.140625" style="623" customWidth="1"/>
    <col min="4534" max="4534" width="0" style="623" hidden="1" customWidth="1"/>
    <col min="4535" max="4535" width="78.85546875" style="623" customWidth="1"/>
    <col min="4536" max="4536" width="14.140625" style="623" customWidth="1"/>
    <col min="4537" max="4537" width="0.28515625" style="623" customWidth="1"/>
    <col min="4538" max="4538" width="11.7109375" style="623" customWidth="1"/>
    <col min="4539" max="4539" width="8.7109375" style="623" customWidth="1"/>
    <col min="4540" max="4540" width="0" style="623" hidden="1" customWidth="1"/>
    <col min="4541" max="4541" width="11.42578125" style="623" customWidth="1"/>
    <col min="4542" max="4544" width="0" style="623" hidden="1" customWidth="1"/>
    <col min="4545" max="4545" width="19" style="623" customWidth="1"/>
    <col min="4546" max="4546" width="17.28515625" style="623" customWidth="1"/>
    <col min="4547" max="4547" width="19.7109375" style="623" customWidth="1"/>
    <col min="4548" max="4548" width="20.7109375" style="623" customWidth="1"/>
    <col min="4549" max="4549" width="13.140625" style="623" bestFit="1" customWidth="1"/>
    <col min="4550" max="4550" width="21.5703125" style="623" customWidth="1"/>
    <col min="4551" max="4551" width="16" style="623" bestFit="1" customWidth="1"/>
    <col min="4552" max="4552" width="13.140625" style="623" bestFit="1" customWidth="1"/>
    <col min="4553" max="4553" width="38.28515625" style="623" bestFit="1" customWidth="1"/>
    <col min="4554" max="4554" width="1.28515625" style="623" customWidth="1"/>
    <col min="4555" max="4555" width="0" style="623" hidden="1" customWidth="1"/>
    <col min="4556" max="4780" width="11.42578125" style="623"/>
    <col min="4781" max="4781" width="1.42578125" style="623" customWidth="1"/>
    <col min="4782" max="4782" width="7.5703125" style="623" customWidth="1"/>
    <col min="4783" max="4783" width="4.85546875" style="623" customWidth="1"/>
    <col min="4784" max="4784" width="8" style="623" customWidth="1"/>
    <col min="4785" max="4785" width="8.140625" style="623" customWidth="1"/>
    <col min="4786" max="4786" width="7.28515625" style="623" customWidth="1"/>
    <col min="4787" max="4787" width="20.7109375" style="623" customWidth="1"/>
    <col min="4788" max="4788" width="15" style="623" customWidth="1"/>
    <col min="4789" max="4789" width="0.140625" style="623" customWidth="1"/>
    <col min="4790" max="4790" width="0" style="623" hidden="1" customWidth="1"/>
    <col min="4791" max="4791" width="78.85546875" style="623" customWidth="1"/>
    <col min="4792" max="4792" width="14.140625" style="623" customWidth="1"/>
    <col min="4793" max="4793" width="0.28515625" style="623" customWidth="1"/>
    <col min="4794" max="4794" width="11.7109375" style="623" customWidth="1"/>
    <col min="4795" max="4795" width="8.7109375" style="623" customWidth="1"/>
    <col min="4796" max="4796" width="0" style="623" hidden="1" customWidth="1"/>
    <col min="4797" max="4797" width="11.42578125" style="623" customWidth="1"/>
    <col min="4798" max="4800" width="0" style="623" hidden="1" customWidth="1"/>
    <col min="4801" max="4801" width="19" style="623" customWidth="1"/>
    <col min="4802" max="4802" width="17.28515625" style="623" customWidth="1"/>
    <col min="4803" max="4803" width="19.7109375" style="623" customWidth="1"/>
    <col min="4804" max="4804" width="20.7109375" style="623" customWidth="1"/>
    <col min="4805" max="4805" width="13.140625" style="623" bestFit="1" customWidth="1"/>
    <col min="4806" max="4806" width="21.5703125" style="623" customWidth="1"/>
    <col min="4807" max="4807" width="16" style="623" bestFit="1" customWidth="1"/>
    <col min="4808" max="4808" width="13.140625" style="623" bestFit="1" customWidth="1"/>
    <col min="4809" max="4809" width="38.28515625" style="623" bestFit="1" customWidth="1"/>
    <col min="4810" max="4810" width="1.28515625" style="623" customWidth="1"/>
    <col min="4811" max="4811" width="0" style="623" hidden="1" customWidth="1"/>
    <col min="4812" max="5036" width="11.42578125" style="623"/>
    <col min="5037" max="5037" width="1.42578125" style="623" customWidth="1"/>
    <col min="5038" max="5038" width="7.5703125" style="623" customWidth="1"/>
    <col min="5039" max="5039" width="4.85546875" style="623" customWidth="1"/>
    <col min="5040" max="5040" width="8" style="623" customWidth="1"/>
    <col min="5041" max="5041" width="8.140625" style="623" customWidth="1"/>
    <col min="5042" max="5042" width="7.28515625" style="623" customWidth="1"/>
    <col min="5043" max="5043" width="20.7109375" style="623" customWidth="1"/>
    <col min="5044" max="5044" width="15" style="623" customWidth="1"/>
    <col min="5045" max="5045" width="0.140625" style="623" customWidth="1"/>
    <col min="5046" max="5046" width="0" style="623" hidden="1" customWidth="1"/>
    <col min="5047" max="5047" width="78.85546875" style="623" customWidth="1"/>
    <col min="5048" max="5048" width="14.140625" style="623" customWidth="1"/>
    <col min="5049" max="5049" width="0.28515625" style="623" customWidth="1"/>
    <col min="5050" max="5050" width="11.7109375" style="623" customWidth="1"/>
    <col min="5051" max="5051" width="8.7109375" style="623" customWidth="1"/>
    <col min="5052" max="5052" width="0" style="623" hidden="1" customWidth="1"/>
    <col min="5053" max="5053" width="11.42578125" style="623" customWidth="1"/>
    <col min="5054" max="5056" width="0" style="623" hidden="1" customWidth="1"/>
    <col min="5057" max="5057" width="19" style="623" customWidth="1"/>
    <col min="5058" max="5058" width="17.28515625" style="623" customWidth="1"/>
    <col min="5059" max="5059" width="19.7109375" style="623" customWidth="1"/>
    <col min="5060" max="5060" width="20.7109375" style="623" customWidth="1"/>
    <col min="5061" max="5061" width="13.140625" style="623" bestFit="1" customWidth="1"/>
    <col min="5062" max="5062" width="21.5703125" style="623" customWidth="1"/>
    <col min="5063" max="5063" width="16" style="623" bestFit="1" customWidth="1"/>
    <col min="5064" max="5064" width="13.140625" style="623" bestFit="1" customWidth="1"/>
    <col min="5065" max="5065" width="38.28515625" style="623" bestFit="1" customWidth="1"/>
    <col min="5066" max="5066" width="1.28515625" style="623" customWidth="1"/>
    <col min="5067" max="5067" width="0" style="623" hidden="1" customWidth="1"/>
    <col min="5068" max="5292" width="11.42578125" style="623"/>
    <col min="5293" max="5293" width="1.42578125" style="623" customWidth="1"/>
    <col min="5294" max="5294" width="7.5703125" style="623" customWidth="1"/>
    <col min="5295" max="5295" width="4.85546875" style="623" customWidth="1"/>
    <col min="5296" max="5296" width="8" style="623" customWidth="1"/>
    <col min="5297" max="5297" width="8.140625" style="623" customWidth="1"/>
    <col min="5298" max="5298" width="7.28515625" style="623" customWidth="1"/>
    <col min="5299" max="5299" width="20.7109375" style="623" customWidth="1"/>
    <col min="5300" max="5300" width="15" style="623" customWidth="1"/>
    <col min="5301" max="5301" width="0.140625" style="623" customWidth="1"/>
    <col min="5302" max="5302" width="0" style="623" hidden="1" customWidth="1"/>
    <col min="5303" max="5303" width="78.85546875" style="623" customWidth="1"/>
    <col min="5304" max="5304" width="14.140625" style="623" customWidth="1"/>
    <col min="5305" max="5305" width="0.28515625" style="623" customWidth="1"/>
    <col min="5306" max="5306" width="11.7109375" style="623" customWidth="1"/>
    <col min="5307" max="5307" width="8.7109375" style="623" customWidth="1"/>
    <col min="5308" max="5308" width="0" style="623" hidden="1" customWidth="1"/>
    <col min="5309" max="5309" width="11.42578125" style="623" customWidth="1"/>
    <col min="5310" max="5312" width="0" style="623" hidden="1" customWidth="1"/>
    <col min="5313" max="5313" width="19" style="623" customWidth="1"/>
    <col min="5314" max="5314" width="17.28515625" style="623" customWidth="1"/>
    <col min="5315" max="5315" width="19.7109375" style="623" customWidth="1"/>
    <col min="5316" max="5316" width="20.7109375" style="623" customWidth="1"/>
    <col min="5317" max="5317" width="13.140625" style="623" bestFit="1" customWidth="1"/>
    <col min="5318" max="5318" width="21.5703125" style="623" customWidth="1"/>
    <col min="5319" max="5319" width="16" style="623" bestFit="1" customWidth="1"/>
    <col min="5320" max="5320" width="13.140625" style="623" bestFit="1" customWidth="1"/>
    <col min="5321" max="5321" width="38.28515625" style="623" bestFit="1" customWidth="1"/>
    <col min="5322" max="5322" width="1.28515625" style="623" customWidth="1"/>
    <col min="5323" max="5323" width="0" style="623" hidden="1" customWidth="1"/>
    <col min="5324" max="5548" width="11.42578125" style="623"/>
    <col min="5549" max="5549" width="1.42578125" style="623" customWidth="1"/>
    <col min="5550" max="5550" width="7.5703125" style="623" customWidth="1"/>
    <col min="5551" max="5551" width="4.85546875" style="623" customWidth="1"/>
    <col min="5552" max="5552" width="8" style="623" customWidth="1"/>
    <col min="5553" max="5553" width="8.140625" style="623" customWidth="1"/>
    <col min="5554" max="5554" width="7.28515625" style="623" customWidth="1"/>
    <col min="5555" max="5555" width="20.7109375" style="623" customWidth="1"/>
    <col min="5556" max="5556" width="15" style="623" customWidth="1"/>
    <col min="5557" max="5557" width="0.140625" style="623" customWidth="1"/>
    <col min="5558" max="5558" width="0" style="623" hidden="1" customWidth="1"/>
    <col min="5559" max="5559" width="78.85546875" style="623" customWidth="1"/>
    <col min="5560" max="5560" width="14.140625" style="623" customWidth="1"/>
    <col min="5561" max="5561" width="0.28515625" style="623" customWidth="1"/>
    <col min="5562" max="5562" width="11.7109375" style="623" customWidth="1"/>
    <col min="5563" max="5563" width="8.7109375" style="623" customWidth="1"/>
    <col min="5564" max="5564" width="0" style="623" hidden="1" customWidth="1"/>
    <col min="5565" max="5565" width="11.42578125" style="623" customWidth="1"/>
    <col min="5566" max="5568" width="0" style="623" hidden="1" customWidth="1"/>
    <col min="5569" max="5569" width="19" style="623" customWidth="1"/>
    <col min="5570" max="5570" width="17.28515625" style="623" customWidth="1"/>
    <col min="5571" max="5571" width="19.7109375" style="623" customWidth="1"/>
    <col min="5572" max="5572" width="20.7109375" style="623" customWidth="1"/>
    <col min="5573" max="5573" width="13.140625" style="623" bestFit="1" customWidth="1"/>
    <col min="5574" max="5574" width="21.5703125" style="623" customWidth="1"/>
    <col min="5575" max="5575" width="16" style="623" bestFit="1" customWidth="1"/>
    <col min="5576" max="5576" width="13.140625" style="623" bestFit="1" customWidth="1"/>
    <col min="5577" max="5577" width="38.28515625" style="623" bestFit="1" customWidth="1"/>
    <col min="5578" max="5578" width="1.28515625" style="623" customWidth="1"/>
    <col min="5579" max="5579" width="0" style="623" hidden="1" customWidth="1"/>
    <col min="5580" max="5804" width="11.42578125" style="623"/>
    <col min="5805" max="5805" width="1.42578125" style="623" customWidth="1"/>
    <col min="5806" max="5806" width="7.5703125" style="623" customWidth="1"/>
    <col min="5807" max="5807" width="4.85546875" style="623" customWidth="1"/>
    <col min="5808" max="5808" width="8" style="623" customWidth="1"/>
    <col min="5809" max="5809" width="8.140625" style="623" customWidth="1"/>
    <col min="5810" max="5810" width="7.28515625" style="623" customWidth="1"/>
    <col min="5811" max="5811" width="20.7109375" style="623" customWidth="1"/>
    <col min="5812" max="5812" width="15" style="623" customWidth="1"/>
    <col min="5813" max="5813" width="0.140625" style="623" customWidth="1"/>
    <col min="5814" max="5814" width="0" style="623" hidden="1" customWidth="1"/>
    <col min="5815" max="5815" width="78.85546875" style="623" customWidth="1"/>
    <col min="5816" max="5816" width="14.140625" style="623" customWidth="1"/>
    <col min="5817" max="5817" width="0.28515625" style="623" customWidth="1"/>
    <col min="5818" max="5818" width="11.7109375" style="623" customWidth="1"/>
    <col min="5819" max="5819" width="8.7109375" style="623" customWidth="1"/>
    <col min="5820" max="5820" width="0" style="623" hidden="1" customWidth="1"/>
    <col min="5821" max="5821" width="11.42578125" style="623" customWidth="1"/>
    <col min="5822" max="5824" width="0" style="623" hidden="1" customWidth="1"/>
    <col min="5825" max="5825" width="19" style="623" customWidth="1"/>
    <col min="5826" max="5826" width="17.28515625" style="623" customWidth="1"/>
    <col min="5827" max="5827" width="19.7109375" style="623" customWidth="1"/>
    <col min="5828" max="5828" width="20.7109375" style="623" customWidth="1"/>
    <col min="5829" max="5829" width="13.140625" style="623" bestFit="1" customWidth="1"/>
    <col min="5830" max="5830" width="21.5703125" style="623" customWidth="1"/>
    <col min="5831" max="5831" width="16" style="623" bestFit="1" customWidth="1"/>
    <col min="5832" max="5832" width="13.140625" style="623" bestFit="1" customWidth="1"/>
    <col min="5833" max="5833" width="38.28515625" style="623" bestFit="1" customWidth="1"/>
    <col min="5834" max="5834" width="1.28515625" style="623" customWidth="1"/>
    <col min="5835" max="5835" width="0" style="623" hidden="1" customWidth="1"/>
    <col min="5836" max="6060" width="11.42578125" style="623"/>
    <col min="6061" max="6061" width="1.42578125" style="623" customWidth="1"/>
    <col min="6062" max="6062" width="7.5703125" style="623" customWidth="1"/>
    <col min="6063" max="6063" width="4.85546875" style="623" customWidth="1"/>
    <col min="6064" max="6064" width="8" style="623" customWidth="1"/>
    <col min="6065" max="6065" width="8.140625" style="623" customWidth="1"/>
    <col min="6066" max="6066" width="7.28515625" style="623" customWidth="1"/>
    <col min="6067" max="6067" width="20.7109375" style="623" customWidth="1"/>
    <col min="6068" max="6068" width="15" style="623" customWidth="1"/>
    <col min="6069" max="6069" width="0.140625" style="623" customWidth="1"/>
    <col min="6070" max="6070" width="0" style="623" hidden="1" customWidth="1"/>
    <col min="6071" max="6071" width="78.85546875" style="623" customWidth="1"/>
    <col min="6072" max="6072" width="14.140625" style="623" customWidth="1"/>
    <col min="6073" max="6073" width="0.28515625" style="623" customWidth="1"/>
    <col min="6074" max="6074" width="11.7109375" style="623" customWidth="1"/>
    <col min="6075" max="6075" width="8.7109375" style="623" customWidth="1"/>
    <col min="6076" max="6076" width="0" style="623" hidden="1" customWidth="1"/>
    <col min="6077" max="6077" width="11.42578125" style="623" customWidth="1"/>
    <col min="6078" max="6080" width="0" style="623" hidden="1" customWidth="1"/>
    <col min="6081" max="6081" width="19" style="623" customWidth="1"/>
    <col min="6082" max="6082" width="17.28515625" style="623" customWidth="1"/>
    <col min="6083" max="6083" width="19.7109375" style="623" customWidth="1"/>
    <col min="6084" max="6084" width="20.7109375" style="623" customWidth="1"/>
    <col min="6085" max="6085" width="13.140625" style="623" bestFit="1" customWidth="1"/>
    <col min="6086" max="6086" width="21.5703125" style="623" customWidth="1"/>
    <col min="6087" max="6087" width="16" style="623" bestFit="1" customWidth="1"/>
    <col min="6088" max="6088" width="13.140625" style="623" bestFit="1" customWidth="1"/>
    <col min="6089" max="6089" width="38.28515625" style="623" bestFit="1" customWidth="1"/>
    <col min="6090" max="6090" width="1.28515625" style="623" customWidth="1"/>
    <col min="6091" max="6091" width="0" style="623" hidden="1" customWidth="1"/>
    <col min="6092" max="6316" width="11.42578125" style="623"/>
    <col min="6317" max="6317" width="1.42578125" style="623" customWidth="1"/>
    <col min="6318" max="6318" width="7.5703125" style="623" customWidth="1"/>
    <col min="6319" max="6319" width="4.85546875" style="623" customWidth="1"/>
    <col min="6320" max="6320" width="8" style="623" customWidth="1"/>
    <col min="6321" max="6321" width="8.140625" style="623" customWidth="1"/>
    <col min="6322" max="6322" width="7.28515625" style="623" customWidth="1"/>
    <col min="6323" max="6323" width="20.7109375" style="623" customWidth="1"/>
    <col min="6324" max="6324" width="15" style="623" customWidth="1"/>
    <col min="6325" max="6325" width="0.140625" style="623" customWidth="1"/>
    <col min="6326" max="6326" width="0" style="623" hidden="1" customWidth="1"/>
    <col min="6327" max="6327" width="78.85546875" style="623" customWidth="1"/>
    <col min="6328" max="6328" width="14.140625" style="623" customWidth="1"/>
    <col min="6329" max="6329" width="0.28515625" style="623" customWidth="1"/>
    <col min="6330" max="6330" width="11.7109375" style="623" customWidth="1"/>
    <col min="6331" max="6331" width="8.7109375" style="623" customWidth="1"/>
    <col min="6332" max="6332" width="0" style="623" hidden="1" customWidth="1"/>
    <col min="6333" max="6333" width="11.42578125" style="623" customWidth="1"/>
    <col min="6334" max="6336" width="0" style="623" hidden="1" customWidth="1"/>
    <col min="6337" max="6337" width="19" style="623" customWidth="1"/>
    <col min="6338" max="6338" width="17.28515625" style="623" customWidth="1"/>
    <col min="6339" max="6339" width="19.7109375" style="623" customWidth="1"/>
    <col min="6340" max="6340" width="20.7109375" style="623" customWidth="1"/>
    <col min="6341" max="6341" width="13.140625" style="623" bestFit="1" customWidth="1"/>
    <col min="6342" max="6342" width="21.5703125" style="623" customWidth="1"/>
    <col min="6343" max="6343" width="16" style="623" bestFit="1" customWidth="1"/>
    <col min="6344" max="6344" width="13.140625" style="623" bestFit="1" customWidth="1"/>
    <col min="6345" max="6345" width="38.28515625" style="623" bestFit="1" customWidth="1"/>
    <col min="6346" max="6346" width="1.28515625" style="623" customWidth="1"/>
    <col min="6347" max="6347" width="0" style="623" hidden="1" customWidth="1"/>
    <col min="6348" max="6572" width="11.42578125" style="623"/>
    <col min="6573" max="6573" width="1.42578125" style="623" customWidth="1"/>
    <col min="6574" max="6574" width="7.5703125" style="623" customWidth="1"/>
    <col min="6575" max="6575" width="4.85546875" style="623" customWidth="1"/>
    <col min="6576" max="6576" width="8" style="623" customWidth="1"/>
    <col min="6577" max="6577" width="8.140625" style="623" customWidth="1"/>
    <col min="6578" max="6578" width="7.28515625" style="623" customWidth="1"/>
    <col min="6579" max="6579" width="20.7109375" style="623" customWidth="1"/>
    <col min="6580" max="6580" width="15" style="623" customWidth="1"/>
    <col min="6581" max="6581" width="0.140625" style="623" customWidth="1"/>
    <col min="6582" max="6582" width="0" style="623" hidden="1" customWidth="1"/>
    <col min="6583" max="6583" width="78.85546875" style="623" customWidth="1"/>
    <col min="6584" max="6584" width="14.140625" style="623" customWidth="1"/>
    <col min="6585" max="6585" width="0.28515625" style="623" customWidth="1"/>
    <col min="6586" max="6586" width="11.7109375" style="623" customWidth="1"/>
    <col min="6587" max="6587" width="8.7109375" style="623" customWidth="1"/>
    <col min="6588" max="6588" width="0" style="623" hidden="1" customWidth="1"/>
    <col min="6589" max="6589" width="11.42578125" style="623" customWidth="1"/>
    <col min="6590" max="6592" width="0" style="623" hidden="1" customWidth="1"/>
    <col min="6593" max="6593" width="19" style="623" customWidth="1"/>
    <col min="6594" max="6594" width="17.28515625" style="623" customWidth="1"/>
    <col min="6595" max="6595" width="19.7109375" style="623" customWidth="1"/>
    <col min="6596" max="6596" width="20.7109375" style="623" customWidth="1"/>
    <col min="6597" max="6597" width="13.140625" style="623" bestFit="1" customWidth="1"/>
    <col min="6598" max="6598" width="21.5703125" style="623" customWidth="1"/>
    <col min="6599" max="6599" width="16" style="623" bestFit="1" customWidth="1"/>
    <col min="6600" max="6600" width="13.140625" style="623" bestFit="1" customWidth="1"/>
    <col min="6601" max="6601" width="38.28515625" style="623" bestFit="1" customWidth="1"/>
    <col min="6602" max="6602" width="1.28515625" style="623" customWidth="1"/>
    <col min="6603" max="6603" width="0" style="623" hidden="1" customWidth="1"/>
    <col min="6604" max="6828" width="11.42578125" style="623"/>
    <col min="6829" max="6829" width="1.42578125" style="623" customWidth="1"/>
    <col min="6830" max="6830" width="7.5703125" style="623" customWidth="1"/>
    <col min="6831" max="6831" width="4.85546875" style="623" customWidth="1"/>
    <col min="6832" max="6832" width="8" style="623" customWidth="1"/>
    <col min="6833" max="6833" width="8.140625" style="623" customWidth="1"/>
    <col min="6834" max="6834" width="7.28515625" style="623" customWidth="1"/>
    <col min="6835" max="6835" width="20.7109375" style="623" customWidth="1"/>
    <col min="6836" max="6836" width="15" style="623" customWidth="1"/>
    <col min="6837" max="6837" width="0.140625" style="623" customWidth="1"/>
    <col min="6838" max="6838" width="0" style="623" hidden="1" customWidth="1"/>
    <col min="6839" max="6839" width="78.85546875" style="623" customWidth="1"/>
    <col min="6840" max="6840" width="14.140625" style="623" customWidth="1"/>
    <col min="6841" max="6841" width="0.28515625" style="623" customWidth="1"/>
    <col min="6842" max="6842" width="11.7109375" style="623" customWidth="1"/>
    <col min="6843" max="6843" width="8.7109375" style="623" customWidth="1"/>
    <col min="6844" max="6844" width="0" style="623" hidden="1" customWidth="1"/>
    <col min="6845" max="6845" width="11.42578125" style="623" customWidth="1"/>
    <col min="6846" max="6848" width="0" style="623" hidden="1" customWidth="1"/>
    <col min="6849" max="6849" width="19" style="623" customWidth="1"/>
    <col min="6850" max="6850" width="17.28515625" style="623" customWidth="1"/>
    <col min="6851" max="6851" width="19.7109375" style="623" customWidth="1"/>
    <col min="6852" max="6852" width="20.7109375" style="623" customWidth="1"/>
    <col min="6853" max="6853" width="13.140625" style="623" bestFit="1" customWidth="1"/>
    <col min="6854" max="6854" width="21.5703125" style="623" customWidth="1"/>
    <col min="6855" max="6855" width="16" style="623" bestFit="1" customWidth="1"/>
    <col min="6856" max="6856" width="13.140625" style="623" bestFit="1" customWidth="1"/>
    <col min="6857" max="6857" width="38.28515625" style="623" bestFit="1" customWidth="1"/>
    <col min="6858" max="6858" width="1.28515625" style="623" customWidth="1"/>
    <col min="6859" max="6859" width="0" style="623" hidden="1" customWidth="1"/>
    <col min="6860" max="7084" width="11.42578125" style="623"/>
    <col min="7085" max="7085" width="1.42578125" style="623" customWidth="1"/>
    <col min="7086" max="7086" width="7.5703125" style="623" customWidth="1"/>
    <col min="7087" max="7087" width="4.85546875" style="623" customWidth="1"/>
    <col min="7088" max="7088" width="8" style="623" customWidth="1"/>
    <col min="7089" max="7089" width="8.140625" style="623" customWidth="1"/>
    <col min="7090" max="7090" width="7.28515625" style="623" customWidth="1"/>
    <col min="7091" max="7091" width="20.7109375" style="623" customWidth="1"/>
    <col min="7092" max="7092" width="15" style="623" customWidth="1"/>
    <col min="7093" max="7093" width="0.140625" style="623" customWidth="1"/>
    <col min="7094" max="7094" width="0" style="623" hidden="1" customWidth="1"/>
    <col min="7095" max="7095" width="78.85546875" style="623" customWidth="1"/>
    <col min="7096" max="7096" width="14.140625" style="623" customWidth="1"/>
    <col min="7097" max="7097" width="0.28515625" style="623" customWidth="1"/>
    <col min="7098" max="7098" width="11.7109375" style="623" customWidth="1"/>
    <col min="7099" max="7099" width="8.7109375" style="623" customWidth="1"/>
    <col min="7100" max="7100" width="0" style="623" hidden="1" customWidth="1"/>
    <col min="7101" max="7101" width="11.42578125" style="623" customWidth="1"/>
    <col min="7102" max="7104" width="0" style="623" hidden="1" customWidth="1"/>
    <col min="7105" max="7105" width="19" style="623" customWidth="1"/>
    <col min="7106" max="7106" width="17.28515625" style="623" customWidth="1"/>
    <col min="7107" max="7107" width="19.7109375" style="623" customWidth="1"/>
    <col min="7108" max="7108" width="20.7109375" style="623" customWidth="1"/>
    <col min="7109" max="7109" width="13.140625" style="623" bestFit="1" customWidth="1"/>
    <col min="7110" max="7110" width="21.5703125" style="623" customWidth="1"/>
    <col min="7111" max="7111" width="16" style="623" bestFit="1" customWidth="1"/>
    <col min="7112" max="7112" width="13.140625" style="623" bestFit="1" customWidth="1"/>
    <col min="7113" max="7113" width="38.28515625" style="623" bestFit="1" customWidth="1"/>
    <col min="7114" max="7114" width="1.28515625" style="623" customWidth="1"/>
    <col min="7115" max="7115" width="0" style="623" hidden="1" customWidth="1"/>
    <col min="7116" max="7340" width="11.42578125" style="623"/>
    <col min="7341" max="7341" width="1.42578125" style="623" customWidth="1"/>
    <col min="7342" max="7342" width="7.5703125" style="623" customWidth="1"/>
    <col min="7343" max="7343" width="4.85546875" style="623" customWidth="1"/>
    <col min="7344" max="7344" width="8" style="623" customWidth="1"/>
    <col min="7345" max="7345" width="8.140625" style="623" customWidth="1"/>
    <col min="7346" max="7346" width="7.28515625" style="623" customWidth="1"/>
    <col min="7347" max="7347" width="20.7109375" style="623" customWidth="1"/>
    <col min="7348" max="7348" width="15" style="623" customWidth="1"/>
    <col min="7349" max="7349" width="0.140625" style="623" customWidth="1"/>
    <col min="7350" max="7350" width="0" style="623" hidden="1" customWidth="1"/>
    <col min="7351" max="7351" width="78.85546875" style="623" customWidth="1"/>
    <col min="7352" max="7352" width="14.140625" style="623" customWidth="1"/>
    <col min="7353" max="7353" width="0.28515625" style="623" customWidth="1"/>
    <col min="7354" max="7354" width="11.7109375" style="623" customWidth="1"/>
    <col min="7355" max="7355" width="8.7109375" style="623" customWidth="1"/>
    <col min="7356" max="7356" width="0" style="623" hidden="1" customWidth="1"/>
    <col min="7357" max="7357" width="11.42578125" style="623" customWidth="1"/>
    <col min="7358" max="7360" width="0" style="623" hidden="1" customWidth="1"/>
    <col min="7361" max="7361" width="19" style="623" customWidth="1"/>
    <col min="7362" max="7362" width="17.28515625" style="623" customWidth="1"/>
    <col min="7363" max="7363" width="19.7109375" style="623" customWidth="1"/>
    <col min="7364" max="7364" width="20.7109375" style="623" customWidth="1"/>
    <col min="7365" max="7365" width="13.140625" style="623" bestFit="1" customWidth="1"/>
    <col min="7366" max="7366" width="21.5703125" style="623" customWidth="1"/>
    <col min="7367" max="7367" width="16" style="623" bestFit="1" customWidth="1"/>
    <col min="7368" max="7368" width="13.140625" style="623" bestFit="1" customWidth="1"/>
    <col min="7369" max="7369" width="38.28515625" style="623" bestFit="1" customWidth="1"/>
    <col min="7370" max="7370" width="1.28515625" style="623" customWidth="1"/>
    <col min="7371" max="7371" width="0" style="623" hidden="1" customWidth="1"/>
    <col min="7372" max="7596" width="11.42578125" style="623"/>
    <col min="7597" max="7597" width="1.42578125" style="623" customWidth="1"/>
    <col min="7598" max="7598" width="7.5703125" style="623" customWidth="1"/>
    <col min="7599" max="7599" width="4.85546875" style="623" customWidth="1"/>
    <col min="7600" max="7600" width="8" style="623" customWidth="1"/>
    <col min="7601" max="7601" width="8.140625" style="623" customWidth="1"/>
    <col min="7602" max="7602" width="7.28515625" style="623" customWidth="1"/>
    <col min="7603" max="7603" width="20.7109375" style="623" customWidth="1"/>
    <col min="7604" max="7604" width="15" style="623" customWidth="1"/>
    <col min="7605" max="7605" width="0.140625" style="623" customWidth="1"/>
    <col min="7606" max="7606" width="0" style="623" hidden="1" customWidth="1"/>
    <col min="7607" max="7607" width="78.85546875" style="623" customWidth="1"/>
    <col min="7608" max="7608" width="14.140625" style="623" customWidth="1"/>
    <col min="7609" max="7609" width="0.28515625" style="623" customWidth="1"/>
    <col min="7610" max="7610" width="11.7109375" style="623" customWidth="1"/>
    <col min="7611" max="7611" width="8.7109375" style="623" customWidth="1"/>
    <col min="7612" max="7612" width="0" style="623" hidden="1" customWidth="1"/>
    <col min="7613" max="7613" width="11.42578125" style="623" customWidth="1"/>
    <col min="7614" max="7616" width="0" style="623" hidden="1" customWidth="1"/>
    <col min="7617" max="7617" width="19" style="623" customWidth="1"/>
    <col min="7618" max="7618" width="17.28515625" style="623" customWidth="1"/>
    <col min="7619" max="7619" width="19.7109375" style="623" customWidth="1"/>
    <col min="7620" max="7620" width="20.7109375" style="623" customWidth="1"/>
    <col min="7621" max="7621" width="13.140625" style="623" bestFit="1" customWidth="1"/>
    <col min="7622" max="7622" width="21.5703125" style="623" customWidth="1"/>
    <col min="7623" max="7623" width="16" style="623" bestFit="1" customWidth="1"/>
    <col min="7624" max="7624" width="13.140625" style="623" bestFit="1" customWidth="1"/>
    <col min="7625" max="7625" width="38.28515625" style="623" bestFit="1" customWidth="1"/>
    <col min="7626" max="7626" width="1.28515625" style="623" customWidth="1"/>
    <col min="7627" max="7627" width="0" style="623" hidden="1" customWidth="1"/>
    <col min="7628" max="7852" width="11.42578125" style="623"/>
    <col min="7853" max="7853" width="1.42578125" style="623" customWidth="1"/>
    <col min="7854" max="7854" width="7.5703125" style="623" customWidth="1"/>
    <col min="7855" max="7855" width="4.85546875" style="623" customWidth="1"/>
    <col min="7856" max="7856" width="8" style="623" customWidth="1"/>
    <col min="7857" max="7857" width="8.140625" style="623" customWidth="1"/>
    <col min="7858" max="7858" width="7.28515625" style="623" customWidth="1"/>
    <col min="7859" max="7859" width="20.7109375" style="623" customWidth="1"/>
    <col min="7860" max="7860" width="15" style="623" customWidth="1"/>
    <col min="7861" max="7861" width="0.140625" style="623" customWidth="1"/>
    <col min="7862" max="7862" width="0" style="623" hidden="1" customWidth="1"/>
    <col min="7863" max="7863" width="78.85546875" style="623" customWidth="1"/>
    <col min="7864" max="7864" width="14.140625" style="623" customWidth="1"/>
    <col min="7865" max="7865" width="0.28515625" style="623" customWidth="1"/>
    <col min="7866" max="7866" width="11.7109375" style="623" customWidth="1"/>
    <col min="7867" max="7867" width="8.7109375" style="623" customWidth="1"/>
    <col min="7868" max="7868" width="0" style="623" hidden="1" customWidth="1"/>
    <col min="7869" max="7869" width="11.42578125" style="623" customWidth="1"/>
    <col min="7870" max="7872" width="0" style="623" hidden="1" customWidth="1"/>
    <col min="7873" max="7873" width="19" style="623" customWidth="1"/>
    <col min="7874" max="7874" width="17.28515625" style="623" customWidth="1"/>
    <col min="7875" max="7875" width="19.7109375" style="623" customWidth="1"/>
    <col min="7876" max="7876" width="20.7109375" style="623" customWidth="1"/>
    <col min="7877" max="7877" width="13.140625" style="623" bestFit="1" customWidth="1"/>
    <col min="7878" max="7878" width="21.5703125" style="623" customWidth="1"/>
    <col min="7879" max="7879" width="16" style="623" bestFit="1" customWidth="1"/>
    <col min="7880" max="7880" width="13.140625" style="623" bestFit="1" customWidth="1"/>
    <col min="7881" max="7881" width="38.28515625" style="623" bestFit="1" customWidth="1"/>
    <col min="7882" max="7882" width="1.28515625" style="623" customWidth="1"/>
    <col min="7883" max="7883" width="0" style="623" hidden="1" customWidth="1"/>
    <col min="7884" max="8108" width="11.42578125" style="623"/>
    <col min="8109" max="8109" width="1.42578125" style="623" customWidth="1"/>
    <col min="8110" max="8110" width="7.5703125" style="623" customWidth="1"/>
    <col min="8111" max="8111" width="4.85546875" style="623" customWidth="1"/>
    <col min="8112" max="8112" width="8" style="623" customWidth="1"/>
    <col min="8113" max="8113" width="8.140625" style="623" customWidth="1"/>
    <col min="8114" max="8114" width="7.28515625" style="623" customWidth="1"/>
    <col min="8115" max="8115" width="20.7109375" style="623" customWidth="1"/>
    <col min="8116" max="8116" width="15" style="623" customWidth="1"/>
    <col min="8117" max="8117" width="0.140625" style="623" customWidth="1"/>
    <col min="8118" max="8118" width="0" style="623" hidden="1" customWidth="1"/>
    <col min="8119" max="8119" width="78.85546875" style="623" customWidth="1"/>
    <col min="8120" max="8120" width="14.140625" style="623" customWidth="1"/>
    <col min="8121" max="8121" width="0.28515625" style="623" customWidth="1"/>
    <col min="8122" max="8122" width="11.7109375" style="623" customWidth="1"/>
    <col min="8123" max="8123" width="8.7109375" style="623" customWidth="1"/>
    <col min="8124" max="8124" width="0" style="623" hidden="1" customWidth="1"/>
    <col min="8125" max="8125" width="11.42578125" style="623" customWidth="1"/>
    <col min="8126" max="8128" width="0" style="623" hidden="1" customWidth="1"/>
    <col min="8129" max="8129" width="19" style="623" customWidth="1"/>
    <col min="8130" max="8130" width="17.28515625" style="623" customWidth="1"/>
    <col min="8131" max="8131" width="19.7109375" style="623" customWidth="1"/>
    <col min="8132" max="8132" width="20.7109375" style="623" customWidth="1"/>
    <col min="8133" max="8133" width="13.140625" style="623" bestFit="1" customWidth="1"/>
    <col min="8134" max="8134" width="21.5703125" style="623" customWidth="1"/>
    <col min="8135" max="8135" width="16" style="623" bestFit="1" customWidth="1"/>
    <col min="8136" max="8136" width="13.140625" style="623" bestFit="1" customWidth="1"/>
    <col min="8137" max="8137" width="38.28515625" style="623" bestFit="1" customWidth="1"/>
    <col min="8138" max="8138" width="1.28515625" style="623" customWidth="1"/>
    <col min="8139" max="8139" width="0" style="623" hidden="1" customWidth="1"/>
    <col min="8140" max="8364" width="11.42578125" style="623"/>
    <col min="8365" max="8365" width="1.42578125" style="623" customWidth="1"/>
    <col min="8366" max="8366" width="7.5703125" style="623" customWidth="1"/>
    <col min="8367" max="8367" width="4.85546875" style="623" customWidth="1"/>
    <col min="8368" max="8368" width="8" style="623" customWidth="1"/>
    <col min="8369" max="8369" width="8.140625" style="623" customWidth="1"/>
    <col min="8370" max="8370" width="7.28515625" style="623" customWidth="1"/>
    <col min="8371" max="8371" width="20.7109375" style="623" customWidth="1"/>
    <col min="8372" max="8372" width="15" style="623" customWidth="1"/>
    <col min="8373" max="8373" width="0.140625" style="623" customWidth="1"/>
    <col min="8374" max="8374" width="0" style="623" hidden="1" customWidth="1"/>
    <col min="8375" max="8375" width="78.85546875" style="623" customWidth="1"/>
    <col min="8376" max="8376" width="14.140625" style="623" customWidth="1"/>
    <col min="8377" max="8377" width="0.28515625" style="623" customWidth="1"/>
    <col min="8378" max="8378" width="11.7109375" style="623" customWidth="1"/>
    <col min="8379" max="8379" width="8.7109375" style="623" customWidth="1"/>
    <col min="8380" max="8380" width="0" style="623" hidden="1" customWidth="1"/>
    <col min="8381" max="8381" width="11.42578125" style="623" customWidth="1"/>
    <col min="8382" max="8384" width="0" style="623" hidden="1" customWidth="1"/>
    <col min="8385" max="8385" width="19" style="623" customWidth="1"/>
    <col min="8386" max="8386" width="17.28515625" style="623" customWidth="1"/>
    <col min="8387" max="8387" width="19.7109375" style="623" customWidth="1"/>
    <col min="8388" max="8388" width="20.7109375" style="623" customWidth="1"/>
    <col min="8389" max="8389" width="13.140625" style="623" bestFit="1" customWidth="1"/>
    <col min="8390" max="8390" width="21.5703125" style="623" customWidth="1"/>
    <col min="8391" max="8391" width="16" style="623" bestFit="1" customWidth="1"/>
    <col min="8392" max="8392" width="13.140625" style="623" bestFit="1" customWidth="1"/>
    <col min="8393" max="8393" width="38.28515625" style="623" bestFit="1" customWidth="1"/>
    <col min="8394" max="8394" width="1.28515625" style="623" customWidth="1"/>
    <col min="8395" max="8395" width="0" style="623" hidden="1" customWidth="1"/>
    <col min="8396" max="8620" width="11.42578125" style="623"/>
    <col min="8621" max="8621" width="1.42578125" style="623" customWidth="1"/>
    <col min="8622" max="8622" width="7.5703125" style="623" customWidth="1"/>
    <col min="8623" max="8623" width="4.85546875" style="623" customWidth="1"/>
    <col min="8624" max="8624" width="8" style="623" customWidth="1"/>
    <col min="8625" max="8625" width="8.140625" style="623" customWidth="1"/>
    <col min="8626" max="8626" width="7.28515625" style="623" customWidth="1"/>
    <col min="8627" max="8627" width="20.7109375" style="623" customWidth="1"/>
    <col min="8628" max="8628" width="15" style="623" customWidth="1"/>
    <col min="8629" max="8629" width="0.140625" style="623" customWidth="1"/>
    <col min="8630" max="8630" width="0" style="623" hidden="1" customWidth="1"/>
    <col min="8631" max="8631" width="78.85546875" style="623" customWidth="1"/>
    <col min="8632" max="8632" width="14.140625" style="623" customWidth="1"/>
    <col min="8633" max="8633" width="0.28515625" style="623" customWidth="1"/>
    <col min="8634" max="8634" width="11.7109375" style="623" customWidth="1"/>
    <col min="8635" max="8635" width="8.7109375" style="623" customWidth="1"/>
    <col min="8636" max="8636" width="0" style="623" hidden="1" customWidth="1"/>
    <col min="8637" max="8637" width="11.42578125" style="623" customWidth="1"/>
    <col min="8638" max="8640" width="0" style="623" hidden="1" customWidth="1"/>
    <col min="8641" max="8641" width="19" style="623" customWidth="1"/>
    <col min="8642" max="8642" width="17.28515625" style="623" customWidth="1"/>
    <col min="8643" max="8643" width="19.7109375" style="623" customWidth="1"/>
    <col min="8644" max="8644" width="20.7109375" style="623" customWidth="1"/>
    <col min="8645" max="8645" width="13.140625" style="623" bestFit="1" customWidth="1"/>
    <col min="8646" max="8646" width="21.5703125" style="623" customWidth="1"/>
    <col min="8647" max="8647" width="16" style="623" bestFit="1" customWidth="1"/>
    <col min="8648" max="8648" width="13.140625" style="623" bestFit="1" customWidth="1"/>
    <col min="8649" max="8649" width="38.28515625" style="623" bestFit="1" customWidth="1"/>
    <col min="8650" max="8650" width="1.28515625" style="623" customWidth="1"/>
    <col min="8651" max="8651" width="0" style="623" hidden="1" customWidth="1"/>
    <col min="8652" max="8876" width="11.42578125" style="623"/>
    <col min="8877" max="8877" width="1.42578125" style="623" customWidth="1"/>
    <col min="8878" max="8878" width="7.5703125" style="623" customWidth="1"/>
    <col min="8879" max="8879" width="4.85546875" style="623" customWidth="1"/>
    <col min="8880" max="8880" width="8" style="623" customWidth="1"/>
    <col min="8881" max="8881" width="8.140625" style="623" customWidth="1"/>
    <col min="8882" max="8882" width="7.28515625" style="623" customWidth="1"/>
    <col min="8883" max="8883" width="20.7109375" style="623" customWidth="1"/>
    <col min="8884" max="8884" width="15" style="623" customWidth="1"/>
    <col min="8885" max="8885" width="0.140625" style="623" customWidth="1"/>
    <col min="8886" max="8886" width="0" style="623" hidden="1" customWidth="1"/>
    <col min="8887" max="8887" width="78.85546875" style="623" customWidth="1"/>
    <col min="8888" max="8888" width="14.140625" style="623" customWidth="1"/>
    <col min="8889" max="8889" width="0.28515625" style="623" customWidth="1"/>
    <col min="8890" max="8890" width="11.7109375" style="623" customWidth="1"/>
    <col min="8891" max="8891" width="8.7109375" style="623" customWidth="1"/>
    <col min="8892" max="8892" width="0" style="623" hidden="1" customWidth="1"/>
    <col min="8893" max="8893" width="11.42578125" style="623" customWidth="1"/>
    <col min="8894" max="8896" width="0" style="623" hidden="1" customWidth="1"/>
    <col min="8897" max="8897" width="19" style="623" customWidth="1"/>
    <col min="8898" max="8898" width="17.28515625" style="623" customWidth="1"/>
    <col min="8899" max="8899" width="19.7109375" style="623" customWidth="1"/>
    <col min="8900" max="8900" width="20.7109375" style="623" customWidth="1"/>
    <col min="8901" max="8901" width="13.140625" style="623" bestFit="1" customWidth="1"/>
    <col min="8902" max="8902" width="21.5703125" style="623" customWidth="1"/>
    <col min="8903" max="8903" width="16" style="623" bestFit="1" customWidth="1"/>
    <col min="8904" max="8904" width="13.140625" style="623" bestFit="1" customWidth="1"/>
    <col min="8905" max="8905" width="38.28515625" style="623" bestFit="1" customWidth="1"/>
    <col min="8906" max="8906" width="1.28515625" style="623" customWidth="1"/>
    <col min="8907" max="8907" width="0" style="623" hidden="1" customWidth="1"/>
    <col min="8908" max="9132" width="11.42578125" style="623"/>
    <col min="9133" max="9133" width="1.42578125" style="623" customWidth="1"/>
    <col min="9134" max="9134" width="7.5703125" style="623" customWidth="1"/>
    <col min="9135" max="9135" width="4.85546875" style="623" customWidth="1"/>
    <col min="9136" max="9136" width="8" style="623" customWidth="1"/>
    <col min="9137" max="9137" width="8.140625" style="623" customWidth="1"/>
    <col min="9138" max="9138" width="7.28515625" style="623" customWidth="1"/>
    <col min="9139" max="9139" width="20.7109375" style="623" customWidth="1"/>
    <col min="9140" max="9140" width="15" style="623" customWidth="1"/>
    <col min="9141" max="9141" width="0.140625" style="623" customWidth="1"/>
    <col min="9142" max="9142" width="0" style="623" hidden="1" customWidth="1"/>
    <col min="9143" max="9143" width="78.85546875" style="623" customWidth="1"/>
    <col min="9144" max="9144" width="14.140625" style="623" customWidth="1"/>
    <col min="9145" max="9145" width="0.28515625" style="623" customWidth="1"/>
    <col min="9146" max="9146" width="11.7109375" style="623" customWidth="1"/>
    <col min="9147" max="9147" width="8.7109375" style="623" customWidth="1"/>
    <col min="9148" max="9148" width="0" style="623" hidden="1" customWidth="1"/>
    <col min="9149" max="9149" width="11.42578125" style="623" customWidth="1"/>
    <col min="9150" max="9152" width="0" style="623" hidden="1" customWidth="1"/>
    <col min="9153" max="9153" width="19" style="623" customWidth="1"/>
    <col min="9154" max="9154" width="17.28515625" style="623" customWidth="1"/>
    <col min="9155" max="9155" width="19.7109375" style="623" customWidth="1"/>
    <col min="9156" max="9156" width="20.7109375" style="623" customWidth="1"/>
    <col min="9157" max="9157" width="13.140625" style="623" bestFit="1" customWidth="1"/>
    <col min="9158" max="9158" width="21.5703125" style="623" customWidth="1"/>
    <col min="9159" max="9159" width="16" style="623" bestFit="1" customWidth="1"/>
    <col min="9160" max="9160" width="13.140625" style="623" bestFit="1" customWidth="1"/>
    <col min="9161" max="9161" width="38.28515625" style="623" bestFit="1" customWidth="1"/>
    <col min="9162" max="9162" width="1.28515625" style="623" customWidth="1"/>
    <col min="9163" max="9163" width="0" style="623" hidden="1" customWidth="1"/>
    <col min="9164" max="9388" width="11.42578125" style="623"/>
    <col min="9389" max="9389" width="1.42578125" style="623" customWidth="1"/>
    <col min="9390" max="9390" width="7.5703125" style="623" customWidth="1"/>
    <col min="9391" max="9391" width="4.85546875" style="623" customWidth="1"/>
    <col min="9392" max="9392" width="8" style="623" customWidth="1"/>
    <col min="9393" max="9393" width="8.140625" style="623" customWidth="1"/>
    <col min="9394" max="9394" width="7.28515625" style="623" customWidth="1"/>
    <col min="9395" max="9395" width="20.7109375" style="623" customWidth="1"/>
    <col min="9396" max="9396" width="15" style="623" customWidth="1"/>
    <col min="9397" max="9397" width="0.140625" style="623" customWidth="1"/>
    <col min="9398" max="9398" width="0" style="623" hidden="1" customWidth="1"/>
    <col min="9399" max="9399" width="78.85546875" style="623" customWidth="1"/>
    <col min="9400" max="9400" width="14.140625" style="623" customWidth="1"/>
    <col min="9401" max="9401" width="0.28515625" style="623" customWidth="1"/>
    <col min="9402" max="9402" width="11.7109375" style="623" customWidth="1"/>
    <col min="9403" max="9403" width="8.7109375" style="623" customWidth="1"/>
    <col min="9404" max="9404" width="0" style="623" hidden="1" customWidth="1"/>
    <col min="9405" max="9405" width="11.42578125" style="623" customWidth="1"/>
    <col min="9406" max="9408" width="0" style="623" hidden="1" customWidth="1"/>
    <col min="9409" max="9409" width="19" style="623" customWidth="1"/>
    <col min="9410" max="9410" width="17.28515625" style="623" customWidth="1"/>
    <col min="9411" max="9411" width="19.7109375" style="623" customWidth="1"/>
    <col min="9412" max="9412" width="20.7109375" style="623" customWidth="1"/>
    <col min="9413" max="9413" width="13.140625" style="623" bestFit="1" customWidth="1"/>
    <col min="9414" max="9414" width="21.5703125" style="623" customWidth="1"/>
    <col min="9415" max="9415" width="16" style="623" bestFit="1" customWidth="1"/>
    <col min="9416" max="9416" width="13.140625" style="623" bestFit="1" customWidth="1"/>
    <col min="9417" max="9417" width="38.28515625" style="623" bestFit="1" customWidth="1"/>
    <col min="9418" max="9418" width="1.28515625" style="623" customWidth="1"/>
    <col min="9419" max="9419" width="0" style="623" hidden="1" customWidth="1"/>
    <col min="9420" max="9644" width="11.42578125" style="623"/>
    <col min="9645" max="9645" width="1.42578125" style="623" customWidth="1"/>
    <col min="9646" max="9646" width="7.5703125" style="623" customWidth="1"/>
    <col min="9647" max="9647" width="4.85546875" style="623" customWidth="1"/>
    <col min="9648" max="9648" width="8" style="623" customWidth="1"/>
    <col min="9649" max="9649" width="8.140625" style="623" customWidth="1"/>
    <col min="9650" max="9650" width="7.28515625" style="623" customWidth="1"/>
    <col min="9651" max="9651" width="20.7109375" style="623" customWidth="1"/>
    <col min="9652" max="9652" width="15" style="623" customWidth="1"/>
    <col min="9653" max="9653" width="0.140625" style="623" customWidth="1"/>
    <col min="9654" max="9654" width="0" style="623" hidden="1" customWidth="1"/>
    <col min="9655" max="9655" width="78.85546875" style="623" customWidth="1"/>
    <col min="9656" max="9656" width="14.140625" style="623" customWidth="1"/>
    <col min="9657" max="9657" width="0.28515625" style="623" customWidth="1"/>
    <col min="9658" max="9658" width="11.7109375" style="623" customWidth="1"/>
    <col min="9659" max="9659" width="8.7109375" style="623" customWidth="1"/>
    <col min="9660" max="9660" width="0" style="623" hidden="1" customWidth="1"/>
    <col min="9661" max="9661" width="11.42578125" style="623" customWidth="1"/>
    <col min="9662" max="9664" width="0" style="623" hidden="1" customWidth="1"/>
    <col min="9665" max="9665" width="19" style="623" customWidth="1"/>
    <col min="9666" max="9666" width="17.28515625" style="623" customWidth="1"/>
    <col min="9667" max="9667" width="19.7109375" style="623" customWidth="1"/>
    <col min="9668" max="9668" width="20.7109375" style="623" customWidth="1"/>
    <col min="9669" max="9669" width="13.140625" style="623" bestFit="1" customWidth="1"/>
    <col min="9670" max="9670" width="21.5703125" style="623" customWidth="1"/>
    <col min="9671" max="9671" width="16" style="623" bestFit="1" customWidth="1"/>
    <col min="9672" max="9672" width="13.140625" style="623" bestFit="1" customWidth="1"/>
    <col min="9673" max="9673" width="38.28515625" style="623" bestFit="1" customWidth="1"/>
    <col min="9674" max="9674" width="1.28515625" style="623" customWidth="1"/>
    <col min="9675" max="9675" width="0" style="623" hidden="1" customWidth="1"/>
    <col min="9676" max="9900" width="11.42578125" style="623"/>
    <col min="9901" max="9901" width="1.42578125" style="623" customWidth="1"/>
    <col min="9902" max="9902" width="7.5703125" style="623" customWidth="1"/>
    <col min="9903" max="9903" width="4.85546875" style="623" customWidth="1"/>
    <col min="9904" max="9904" width="8" style="623" customWidth="1"/>
    <col min="9905" max="9905" width="8.140625" style="623" customWidth="1"/>
    <col min="9906" max="9906" width="7.28515625" style="623" customWidth="1"/>
    <col min="9907" max="9907" width="20.7109375" style="623" customWidth="1"/>
    <col min="9908" max="9908" width="15" style="623" customWidth="1"/>
    <col min="9909" max="9909" width="0.140625" style="623" customWidth="1"/>
    <col min="9910" max="9910" width="0" style="623" hidden="1" customWidth="1"/>
    <col min="9911" max="9911" width="78.85546875" style="623" customWidth="1"/>
    <col min="9912" max="9912" width="14.140625" style="623" customWidth="1"/>
    <col min="9913" max="9913" width="0.28515625" style="623" customWidth="1"/>
    <col min="9914" max="9914" width="11.7109375" style="623" customWidth="1"/>
    <col min="9915" max="9915" width="8.7109375" style="623" customWidth="1"/>
    <col min="9916" max="9916" width="0" style="623" hidden="1" customWidth="1"/>
    <col min="9917" max="9917" width="11.42578125" style="623" customWidth="1"/>
    <col min="9918" max="9920" width="0" style="623" hidden="1" customWidth="1"/>
    <col min="9921" max="9921" width="19" style="623" customWidth="1"/>
    <col min="9922" max="9922" width="17.28515625" style="623" customWidth="1"/>
    <col min="9923" max="9923" width="19.7109375" style="623" customWidth="1"/>
    <col min="9924" max="9924" width="20.7109375" style="623" customWidth="1"/>
    <col min="9925" max="9925" width="13.140625" style="623" bestFit="1" customWidth="1"/>
    <col min="9926" max="9926" width="21.5703125" style="623" customWidth="1"/>
    <col min="9927" max="9927" width="16" style="623" bestFit="1" customWidth="1"/>
    <col min="9928" max="9928" width="13.140625" style="623" bestFit="1" customWidth="1"/>
    <col min="9929" max="9929" width="38.28515625" style="623" bestFit="1" customWidth="1"/>
    <col min="9930" max="9930" width="1.28515625" style="623" customWidth="1"/>
    <col min="9931" max="9931" width="0" style="623" hidden="1" customWidth="1"/>
    <col min="9932" max="10156" width="11.42578125" style="623"/>
    <col min="10157" max="10157" width="1.42578125" style="623" customWidth="1"/>
    <col min="10158" max="10158" width="7.5703125" style="623" customWidth="1"/>
    <col min="10159" max="10159" width="4.85546875" style="623" customWidth="1"/>
    <col min="10160" max="10160" width="8" style="623" customWidth="1"/>
    <col min="10161" max="10161" width="8.140625" style="623" customWidth="1"/>
    <col min="10162" max="10162" width="7.28515625" style="623" customWidth="1"/>
    <col min="10163" max="10163" width="20.7109375" style="623" customWidth="1"/>
    <col min="10164" max="10164" width="15" style="623" customWidth="1"/>
    <col min="10165" max="10165" width="0.140625" style="623" customWidth="1"/>
    <col min="10166" max="10166" width="0" style="623" hidden="1" customWidth="1"/>
    <col min="10167" max="10167" width="78.85546875" style="623" customWidth="1"/>
    <col min="10168" max="10168" width="14.140625" style="623" customWidth="1"/>
    <col min="10169" max="10169" width="0.28515625" style="623" customWidth="1"/>
    <col min="10170" max="10170" width="11.7109375" style="623" customWidth="1"/>
    <col min="10171" max="10171" width="8.7109375" style="623" customWidth="1"/>
    <col min="10172" max="10172" width="0" style="623" hidden="1" customWidth="1"/>
    <col min="10173" max="10173" width="11.42578125" style="623" customWidth="1"/>
    <col min="10174" max="10176" width="0" style="623" hidden="1" customWidth="1"/>
    <col min="10177" max="10177" width="19" style="623" customWidth="1"/>
    <col min="10178" max="10178" width="17.28515625" style="623" customWidth="1"/>
    <col min="10179" max="10179" width="19.7109375" style="623" customWidth="1"/>
    <col min="10180" max="10180" width="20.7109375" style="623" customWidth="1"/>
    <col min="10181" max="10181" width="13.140625" style="623" bestFit="1" customWidth="1"/>
    <col min="10182" max="10182" width="21.5703125" style="623" customWidth="1"/>
    <col min="10183" max="10183" width="16" style="623" bestFit="1" customWidth="1"/>
    <col min="10184" max="10184" width="13.140625" style="623" bestFit="1" customWidth="1"/>
    <col min="10185" max="10185" width="38.28515625" style="623" bestFit="1" customWidth="1"/>
    <col min="10186" max="10186" width="1.28515625" style="623" customWidth="1"/>
    <col min="10187" max="10187" width="0" style="623" hidden="1" customWidth="1"/>
    <col min="10188" max="10412" width="11.42578125" style="623"/>
    <col min="10413" max="10413" width="1.42578125" style="623" customWidth="1"/>
    <col min="10414" max="10414" width="7.5703125" style="623" customWidth="1"/>
    <col min="10415" max="10415" width="4.85546875" style="623" customWidth="1"/>
    <col min="10416" max="10416" width="8" style="623" customWidth="1"/>
    <col min="10417" max="10417" width="8.140625" style="623" customWidth="1"/>
    <col min="10418" max="10418" width="7.28515625" style="623" customWidth="1"/>
    <col min="10419" max="10419" width="20.7109375" style="623" customWidth="1"/>
    <col min="10420" max="10420" width="15" style="623" customWidth="1"/>
    <col min="10421" max="10421" width="0.140625" style="623" customWidth="1"/>
    <col min="10422" max="10422" width="0" style="623" hidden="1" customWidth="1"/>
    <col min="10423" max="10423" width="78.85546875" style="623" customWidth="1"/>
    <col min="10424" max="10424" width="14.140625" style="623" customWidth="1"/>
    <col min="10425" max="10425" width="0.28515625" style="623" customWidth="1"/>
    <col min="10426" max="10426" width="11.7109375" style="623" customWidth="1"/>
    <col min="10427" max="10427" width="8.7109375" style="623" customWidth="1"/>
    <col min="10428" max="10428" width="0" style="623" hidden="1" customWidth="1"/>
    <col min="10429" max="10429" width="11.42578125" style="623" customWidth="1"/>
    <col min="10430" max="10432" width="0" style="623" hidden="1" customWidth="1"/>
    <col min="10433" max="10433" width="19" style="623" customWidth="1"/>
    <col min="10434" max="10434" width="17.28515625" style="623" customWidth="1"/>
    <col min="10435" max="10435" width="19.7109375" style="623" customWidth="1"/>
    <col min="10436" max="10436" width="20.7109375" style="623" customWidth="1"/>
    <col min="10437" max="10437" width="13.140625" style="623" bestFit="1" customWidth="1"/>
    <col min="10438" max="10438" width="21.5703125" style="623" customWidth="1"/>
    <col min="10439" max="10439" width="16" style="623" bestFit="1" customWidth="1"/>
    <col min="10440" max="10440" width="13.140625" style="623" bestFit="1" customWidth="1"/>
    <col min="10441" max="10441" width="38.28515625" style="623" bestFit="1" customWidth="1"/>
    <col min="10442" max="10442" width="1.28515625" style="623" customWidth="1"/>
    <col min="10443" max="10443" width="0" style="623" hidden="1" customWidth="1"/>
    <col min="10444" max="10668" width="11.42578125" style="623"/>
    <col min="10669" max="10669" width="1.42578125" style="623" customWidth="1"/>
    <col min="10670" max="10670" width="7.5703125" style="623" customWidth="1"/>
    <col min="10671" max="10671" width="4.85546875" style="623" customWidth="1"/>
    <col min="10672" max="10672" width="8" style="623" customWidth="1"/>
    <col min="10673" max="10673" width="8.140625" style="623" customWidth="1"/>
    <col min="10674" max="10674" width="7.28515625" style="623" customWidth="1"/>
    <col min="10675" max="10675" width="20.7109375" style="623" customWidth="1"/>
    <col min="10676" max="10676" width="15" style="623" customWidth="1"/>
    <col min="10677" max="10677" width="0.140625" style="623" customWidth="1"/>
    <col min="10678" max="10678" width="0" style="623" hidden="1" customWidth="1"/>
    <col min="10679" max="10679" width="78.85546875" style="623" customWidth="1"/>
    <col min="10680" max="10680" width="14.140625" style="623" customWidth="1"/>
    <col min="10681" max="10681" width="0.28515625" style="623" customWidth="1"/>
    <col min="10682" max="10682" width="11.7109375" style="623" customWidth="1"/>
    <col min="10683" max="10683" width="8.7109375" style="623" customWidth="1"/>
    <col min="10684" max="10684" width="0" style="623" hidden="1" customWidth="1"/>
    <col min="10685" max="10685" width="11.42578125" style="623" customWidth="1"/>
    <col min="10686" max="10688" width="0" style="623" hidden="1" customWidth="1"/>
    <col min="10689" max="10689" width="19" style="623" customWidth="1"/>
    <col min="10690" max="10690" width="17.28515625" style="623" customWidth="1"/>
    <col min="10691" max="10691" width="19.7109375" style="623" customWidth="1"/>
    <col min="10692" max="10692" width="20.7109375" style="623" customWidth="1"/>
    <col min="10693" max="10693" width="13.140625" style="623" bestFit="1" customWidth="1"/>
    <col min="10694" max="10694" width="21.5703125" style="623" customWidth="1"/>
    <col min="10695" max="10695" width="16" style="623" bestFit="1" customWidth="1"/>
    <col min="10696" max="10696" width="13.140625" style="623" bestFit="1" customWidth="1"/>
    <col min="10697" max="10697" width="38.28515625" style="623" bestFit="1" customWidth="1"/>
    <col min="10698" max="10698" width="1.28515625" style="623" customWidth="1"/>
    <col min="10699" max="10699" width="0" style="623" hidden="1" customWidth="1"/>
    <col min="10700" max="10924" width="11.42578125" style="623"/>
    <col min="10925" max="10925" width="1.42578125" style="623" customWidth="1"/>
    <col min="10926" max="10926" width="7.5703125" style="623" customWidth="1"/>
    <col min="10927" max="10927" width="4.85546875" style="623" customWidth="1"/>
    <col min="10928" max="10928" width="8" style="623" customWidth="1"/>
    <col min="10929" max="10929" width="8.140625" style="623" customWidth="1"/>
    <col min="10930" max="10930" width="7.28515625" style="623" customWidth="1"/>
    <col min="10931" max="10931" width="20.7109375" style="623" customWidth="1"/>
    <col min="10932" max="10932" width="15" style="623" customWidth="1"/>
    <col min="10933" max="10933" width="0.140625" style="623" customWidth="1"/>
    <col min="10934" max="10934" width="0" style="623" hidden="1" customWidth="1"/>
    <col min="10935" max="10935" width="78.85546875" style="623" customWidth="1"/>
    <col min="10936" max="10936" width="14.140625" style="623" customWidth="1"/>
    <col min="10937" max="10937" width="0.28515625" style="623" customWidth="1"/>
    <col min="10938" max="10938" width="11.7109375" style="623" customWidth="1"/>
    <col min="10939" max="10939" width="8.7109375" style="623" customWidth="1"/>
    <col min="10940" max="10940" width="0" style="623" hidden="1" customWidth="1"/>
    <col min="10941" max="10941" width="11.42578125" style="623" customWidth="1"/>
    <col min="10942" max="10944" width="0" style="623" hidden="1" customWidth="1"/>
    <col min="10945" max="10945" width="19" style="623" customWidth="1"/>
    <col min="10946" max="10946" width="17.28515625" style="623" customWidth="1"/>
    <col min="10947" max="10947" width="19.7109375" style="623" customWidth="1"/>
    <col min="10948" max="10948" width="20.7109375" style="623" customWidth="1"/>
    <col min="10949" max="10949" width="13.140625" style="623" bestFit="1" customWidth="1"/>
    <col min="10950" max="10950" width="21.5703125" style="623" customWidth="1"/>
    <col min="10951" max="10951" width="16" style="623" bestFit="1" customWidth="1"/>
    <col min="10952" max="10952" width="13.140625" style="623" bestFit="1" customWidth="1"/>
    <col min="10953" max="10953" width="38.28515625" style="623" bestFit="1" customWidth="1"/>
    <col min="10954" max="10954" width="1.28515625" style="623" customWidth="1"/>
    <col min="10955" max="10955" width="0" style="623" hidden="1" customWidth="1"/>
    <col min="10956" max="11180" width="11.42578125" style="623"/>
    <col min="11181" max="11181" width="1.42578125" style="623" customWidth="1"/>
    <col min="11182" max="11182" width="7.5703125" style="623" customWidth="1"/>
    <col min="11183" max="11183" width="4.85546875" style="623" customWidth="1"/>
    <col min="11184" max="11184" width="8" style="623" customWidth="1"/>
    <col min="11185" max="11185" width="8.140625" style="623" customWidth="1"/>
    <col min="11186" max="11186" width="7.28515625" style="623" customWidth="1"/>
    <col min="11187" max="11187" width="20.7109375" style="623" customWidth="1"/>
    <col min="11188" max="11188" width="15" style="623" customWidth="1"/>
    <col min="11189" max="11189" width="0.140625" style="623" customWidth="1"/>
    <col min="11190" max="11190" width="0" style="623" hidden="1" customWidth="1"/>
    <col min="11191" max="11191" width="78.85546875" style="623" customWidth="1"/>
    <col min="11192" max="11192" width="14.140625" style="623" customWidth="1"/>
    <col min="11193" max="11193" width="0.28515625" style="623" customWidth="1"/>
    <col min="11194" max="11194" width="11.7109375" style="623" customWidth="1"/>
    <col min="11195" max="11195" width="8.7109375" style="623" customWidth="1"/>
    <col min="11196" max="11196" width="0" style="623" hidden="1" customWidth="1"/>
    <col min="11197" max="11197" width="11.42578125" style="623" customWidth="1"/>
    <col min="11198" max="11200" width="0" style="623" hidden="1" customWidth="1"/>
    <col min="11201" max="11201" width="19" style="623" customWidth="1"/>
    <col min="11202" max="11202" width="17.28515625" style="623" customWidth="1"/>
    <col min="11203" max="11203" width="19.7109375" style="623" customWidth="1"/>
    <col min="11204" max="11204" width="20.7109375" style="623" customWidth="1"/>
    <col min="11205" max="11205" width="13.140625" style="623" bestFit="1" customWidth="1"/>
    <col min="11206" max="11206" width="21.5703125" style="623" customWidth="1"/>
    <col min="11207" max="11207" width="16" style="623" bestFit="1" customWidth="1"/>
    <col min="11208" max="11208" width="13.140625" style="623" bestFit="1" customWidth="1"/>
    <col min="11209" max="11209" width="38.28515625" style="623" bestFit="1" customWidth="1"/>
    <col min="11210" max="11210" width="1.28515625" style="623" customWidth="1"/>
    <col min="11211" max="11211" width="0" style="623" hidden="1" customWidth="1"/>
    <col min="11212" max="11436" width="11.42578125" style="623"/>
    <col min="11437" max="11437" width="1.42578125" style="623" customWidth="1"/>
    <col min="11438" max="11438" width="7.5703125" style="623" customWidth="1"/>
    <col min="11439" max="11439" width="4.85546875" style="623" customWidth="1"/>
    <col min="11440" max="11440" width="8" style="623" customWidth="1"/>
    <col min="11441" max="11441" width="8.140625" style="623" customWidth="1"/>
    <col min="11442" max="11442" width="7.28515625" style="623" customWidth="1"/>
    <col min="11443" max="11443" width="20.7109375" style="623" customWidth="1"/>
    <col min="11444" max="11444" width="15" style="623" customWidth="1"/>
    <col min="11445" max="11445" width="0.140625" style="623" customWidth="1"/>
    <col min="11446" max="11446" width="0" style="623" hidden="1" customWidth="1"/>
    <col min="11447" max="11447" width="78.85546875" style="623" customWidth="1"/>
    <col min="11448" max="11448" width="14.140625" style="623" customWidth="1"/>
    <col min="11449" max="11449" width="0.28515625" style="623" customWidth="1"/>
    <col min="11450" max="11450" width="11.7109375" style="623" customWidth="1"/>
    <col min="11451" max="11451" width="8.7109375" style="623" customWidth="1"/>
    <col min="11452" max="11452" width="0" style="623" hidden="1" customWidth="1"/>
    <col min="11453" max="11453" width="11.42578125" style="623" customWidth="1"/>
    <col min="11454" max="11456" width="0" style="623" hidden="1" customWidth="1"/>
    <col min="11457" max="11457" width="19" style="623" customWidth="1"/>
    <col min="11458" max="11458" width="17.28515625" style="623" customWidth="1"/>
    <col min="11459" max="11459" width="19.7109375" style="623" customWidth="1"/>
    <col min="11460" max="11460" width="20.7109375" style="623" customWidth="1"/>
    <col min="11461" max="11461" width="13.140625" style="623" bestFit="1" customWidth="1"/>
    <col min="11462" max="11462" width="21.5703125" style="623" customWidth="1"/>
    <col min="11463" max="11463" width="16" style="623" bestFit="1" customWidth="1"/>
    <col min="11464" max="11464" width="13.140625" style="623" bestFit="1" customWidth="1"/>
    <col min="11465" max="11465" width="38.28515625" style="623" bestFit="1" customWidth="1"/>
    <col min="11466" max="11466" width="1.28515625" style="623" customWidth="1"/>
    <col min="11467" max="11467" width="0" style="623" hidden="1" customWidth="1"/>
    <col min="11468" max="11692" width="11.42578125" style="623"/>
    <col min="11693" max="11693" width="1.42578125" style="623" customWidth="1"/>
    <col min="11694" max="11694" width="7.5703125" style="623" customWidth="1"/>
    <col min="11695" max="11695" width="4.85546875" style="623" customWidth="1"/>
    <col min="11696" max="11696" width="8" style="623" customWidth="1"/>
    <col min="11697" max="11697" width="8.140625" style="623" customWidth="1"/>
    <col min="11698" max="11698" width="7.28515625" style="623" customWidth="1"/>
    <col min="11699" max="11699" width="20.7109375" style="623" customWidth="1"/>
    <col min="11700" max="11700" width="15" style="623" customWidth="1"/>
    <col min="11701" max="11701" width="0.140625" style="623" customWidth="1"/>
    <col min="11702" max="11702" width="0" style="623" hidden="1" customWidth="1"/>
    <col min="11703" max="11703" width="78.85546875" style="623" customWidth="1"/>
    <col min="11704" max="11704" width="14.140625" style="623" customWidth="1"/>
    <col min="11705" max="11705" width="0.28515625" style="623" customWidth="1"/>
    <col min="11706" max="11706" width="11.7109375" style="623" customWidth="1"/>
    <col min="11707" max="11707" width="8.7109375" style="623" customWidth="1"/>
    <col min="11708" max="11708" width="0" style="623" hidden="1" customWidth="1"/>
    <col min="11709" max="11709" width="11.42578125" style="623" customWidth="1"/>
    <col min="11710" max="11712" width="0" style="623" hidden="1" customWidth="1"/>
    <col min="11713" max="11713" width="19" style="623" customWidth="1"/>
    <col min="11714" max="11714" width="17.28515625" style="623" customWidth="1"/>
    <col min="11715" max="11715" width="19.7109375" style="623" customWidth="1"/>
    <col min="11716" max="11716" width="20.7109375" style="623" customWidth="1"/>
    <col min="11717" max="11717" width="13.140625" style="623" bestFit="1" customWidth="1"/>
    <col min="11718" max="11718" width="21.5703125" style="623" customWidth="1"/>
    <col min="11719" max="11719" width="16" style="623" bestFit="1" customWidth="1"/>
    <col min="11720" max="11720" width="13.140625" style="623" bestFit="1" customWidth="1"/>
    <col min="11721" max="11721" width="38.28515625" style="623" bestFit="1" customWidth="1"/>
    <col min="11722" max="11722" width="1.28515625" style="623" customWidth="1"/>
    <col min="11723" max="11723" width="0" style="623" hidden="1" customWidth="1"/>
    <col min="11724" max="11948" width="11.42578125" style="623"/>
    <col min="11949" max="11949" width="1.42578125" style="623" customWidth="1"/>
    <col min="11950" max="11950" width="7.5703125" style="623" customWidth="1"/>
    <col min="11951" max="11951" width="4.85546875" style="623" customWidth="1"/>
    <col min="11952" max="11952" width="8" style="623" customWidth="1"/>
    <col min="11953" max="11953" width="8.140625" style="623" customWidth="1"/>
    <col min="11954" max="11954" width="7.28515625" style="623" customWidth="1"/>
    <col min="11955" max="11955" width="20.7109375" style="623" customWidth="1"/>
    <col min="11956" max="11956" width="15" style="623" customWidth="1"/>
    <col min="11957" max="11957" width="0.140625" style="623" customWidth="1"/>
    <col min="11958" max="11958" width="0" style="623" hidden="1" customWidth="1"/>
    <col min="11959" max="11959" width="78.85546875" style="623" customWidth="1"/>
    <col min="11960" max="11960" width="14.140625" style="623" customWidth="1"/>
    <col min="11961" max="11961" width="0.28515625" style="623" customWidth="1"/>
    <col min="11962" max="11962" width="11.7109375" style="623" customWidth="1"/>
    <col min="11963" max="11963" width="8.7109375" style="623" customWidth="1"/>
    <col min="11964" max="11964" width="0" style="623" hidden="1" customWidth="1"/>
    <col min="11965" max="11965" width="11.42578125" style="623" customWidth="1"/>
    <col min="11966" max="11968" width="0" style="623" hidden="1" customWidth="1"/>
    <col min="11969" max="11969" width="19" style="623" customWidth="1"/>
    <col min="11970" max="11970" width="17.28515625" style="623" customWidth="1"/>
    <col min="11971" max="11971" width="19.7109375" style="623" customWidth="1"/>
    <col min="11972" max="11972" width="20.7109375" style="623" customWidth="1"/>
    <col min="11973" max="11973" width="13.140625" style="623" bestFit="1" customWidth="1"/>
    <col min="11974" max="11974" width="21.5703125" style="623" customWidth="1"/>
    <col min="11975" max="11975" width="16" style="623" bestFit="1" customWidth="1"/>
    <col min="11976" max="11976" width="13.140625" style="623" bestFit="1" customWidth="1"/>
    <col min="11977" max="11977" width="38.28515625" style="623" bestFit="1" customWidth="1"/>
    <col min="11978" max="11978" width="1.28515625" style="623" customWidth="1"/>
    <col min="11979" max="11979" width="0" style="623" hidden="1" customWidth="1"/>
    <col min="11980" max="12204" width="11.42578125" style="623"/>
    <col min="12205" max="12205" width="1.42578125" style="623" customWidth="1"/>
    <col min="12206" max="12206" width="7.5703125" style="623" customWidth="1"/>
    <col min="12207" max="12207" width="4.85546875" style="623" customWidth="1"/>
    <col min="12208" max="12208" width="8" style="623" customWidth="1"/>
    <col min="12209" max="12209" width="8.140625" style="623" customWidth="1"/>
    <col min="12210" max="12210" width="7.28515625" style="623" customWidth="1"/>
    <col min="12211" max="12211" width="20.7109375" style="623" customWidth="1"/>
    <col min="12212" max="12212" width="15" style="623" customWidth="1"/>
    <col min="12213" max="12213" width="0.140625" style="623" customWidth="1"/>
    <col min="12214" max="12214" width="0" style="623" hidden="1" customWidth="1"/>
    <col min="12215" max="12215" width="78.85546875" style="623" customWidth="1"/>
    <col min="12216" max="12216" width="14.140625" style="623" customWidth="1"/>
    <col min="12217" max="12217" width="0.28515625" style="623" customWidth="1"/>
    <col min="12218" max="12218" width="11.7109375" style="623" customWidth="1"/>
    <col min="12219" max="12219" width="8.7109375" style="623" customWidth="1"/>
    <col min="12220" max="12220" width="0" style="623" hidden="1" customWidth="1"/>
    <col min="12221" max="12221" width="11.42578125" style="623" customWidth="1"/>
    <col min="12222" max="12224" width="0" style="623" hidden="1" customWidth="1"/>
    <col min="12225" max="12225" width="19" style="623" customWidth="1"/>
    <col min="12226" max="12226" width="17.28515625" style="623" customWidth="1"/>
    <col min="12227" max="12227" width="19.7109375" style="623" customWidth="1"/>
    <col min="12228" max="12228" width="20.7109375" style="623" customWidth="1"/>
    <col min="12229" max="12229" width="13.140625" style="623" bestFit="1" customWidth="1"/>
    <col min="12230" max="12230" width="21.5703125" style="623" customWidth="1"/>
    <col min="12231" max="12231" width="16" style="623" bestFit="1" customWidth="1"/>
    <col min="12232" max="12232" width="13.140625" style="623" bestFit="1" customWidth="1"/>
    <col min="12233" max="12233" width="38.28515625" style="623" bestFit="1" customWidth="1"/>
    <col min="12234" max="12234" width="1.28515625" style="623" customWidth="1"/>
    <col min="12235" max="12235" width="0" style="623" hidden="1" customWidth="1"/>
    <col min="12236" max="12460" width="11.42578125" style="623"/>
    <col min="12461" max="12461" width="1.42578125" style="623" customWidth="1"/>
    <col min="12462" max="12462" width="7.5703125" style="623" customWidth="1"/>
    <col min="12463" max="12463" width="4.85546875" style="623" customWidth="1"/>
    <col min="12464" max="12464" width="8" style="623" customWidth="1"/>
    <col min="12465" max="12465" width="8.140625" style="623" customWidth="1"/>
    <col min="12466" max="12466" width="7.28515625" style="623" customWidth="1"/>
    <col min="12467" max="12467" width="20.7109375" style="623" customWidth="1"/>
    <col min="12468" max="12468" width="15" style="623" customWidth="1"/>
    <col min="12469" max="12469" width="0.140625" style="623" customWidth="1"/>
    <col min="12470" max="12470" width="0" style="623" hidden="1" customWidth="1"/>
    <col min="12471" max="12471" width="78.85546875" style="623" customWidth="1"/>
    <col min="12472" max="12472" width="14.140625" style="623" customWidth="1"/>
    <col min="12473" max="12473" width="0.28515625" style="623" customWidth="1"/>
    <col min="12474" max="12474" width="11.7109375" style="623" customWidth="1"/>
    <col min="12475" max="12475" width="8.7109375" style="623" customWidth="1"/>
    <col min="12476" max="12476" width="0" style="623" hidden="1" customWidth="1"/>
    <col min="12477" max="12477" width="11.42578125" style="623" customWidth="1"/>
    <col min="12478" max="12480" width="0" style="623" hidden="1" customWidth="1"/>
    <col min="12481" max="12481" width="19" style="623" customWidth="1"/>
    <col min="12482" max="12482" width="17.28515625" style="623" customWidth="1"/>
    <col min="12483" max="12483" width="19.7109375" style="623" customWidth="1"/>
    <col min="12484" max="12484" width="20.7109375" style="623" customWidth="1"/>
    <col min="12485" max="12485" width="13.140625" style="623" bestFit="1" customWidth="1"/>
    <col min="12486" max="12486" width="21.5703125" style="623" customWidth="1"/>
    <col min="12487" max="12487" width="16" style="623" bestFit="1" customWidth="1"/>
    <col min="12488" max="12488" width="13.140625" style="623" bestFit="1" customWidth="1"/>
    <col min="12489" max="12489" width="38.28515625" style="623" bestFit="1" customWidth="1"/>
    <col min="12490" max="12490" width="1.28515625" style="623" customWidth="1"/>
    <col min="12491" max="12491" width="0" style="623" hidden="1" customWidth="1"/>
    <col min="12492" max="12716" width="11.42578125" style="623"/>
    <col min="12717" max="12717" width="1.42578125" style="623" customWidth="1"/>
    <col min="12718" max="12718" width="7.5703125" style="623" customWidth="1"/>
    <col min="12719" max="12719" width="4.85546875" style="623" customWidth="1"/>
    <col min="12720" max="12720" width="8" style="623" customWidth="1"/>
    <col min="12721" max="12721" width="8.140625" style="623" customWidth="1"/>
    <col min="12722" max="12722" width="7.28515625" style="623" customWidth="1"/>
    <col min="12723" max="12723" width="20.7109375" style="623" customWidth="1"/>
    <col min="12724" max="12724" width="15" style="623" customWidth="1"/>
    <col min="12725" max="12725" width="0.140625" style="623" customWidth="1"/>
    <col min="12726" max="12726" width="0" style="623" hidden="1" customWidth="1"/>
    <col min="12727" max="12727" width="78.85546875" style="623" customWidth="1"/>
    <col min="12728" max="12728" width="14.140625" style="623" customWidth="1"/>
    <col min="12729" max="12729" width="0.28515625" style="623" customWidth="1"/>
    <col min="12730" max="12730" width="11.7109375" style="623" customWidth="1"/>
    <col min="12731" max="12731" width="8.7109375" style="623" customWidth="1"/>
    <col min="12732" max="12732" width="0" style="623" hidden="1" customWidth="1"/>
    <col min="12733" max="12733" width="11.42578125" style="623" customWidth="1"/>
    <col min="12734" max="12736" width="0" style="623" hidden="1" customWidth="1"/>
    <col min="12737" max="12737" width="19" style="623" customWidth="1"/>
    <col min="12738" max="12738" width="17.28515625" style="623" customWidth="1"/>
    <col min="12739" max="12739" width="19.7109375" style="623" customWidth="1"/>
    <col min="12740" max="12740" width="20.7109375" style="623" customWidth="1"/>
    <col min="12741" max="12741" width="13.140625" style="623" bestFit="1" customWidth="1"/>
    <col min="12742" max="12742" width="21.5703125" style="623" customWidth="1"/>
    <col min="12743" max="12743" width="16" style="623" bestFit="1" customWidth="1"/>
    <col min="12744" max="12744" width="13.140625" style="623" bestFit="1" customWidth="1"/>
    <col min="12745" max="12745" width="38.28515625" style="623" bestFit="1" customWidth="1"/>
    <col min="12746" max="12746" width="1.28515625" style="623" customWidth="1"/>
    <col min="12747" max="12747" width="0" style="623" hidden="1" customWidth="1"/>
    <col min="12748" max="12972" width="11.42578125" style="623"/>
    <col min="12973" max="12973" width="1.42578125" style="623" customWidth="1"/>
    <col min="12974" max="12974" width="7.5703125" style="623" customWidth="1"/>
    <col min="12975" max="12975" width="4.85546875" style="623" customWidth="1"/>
    <col min="12976" max="12976" width="8" style="623" customWidth="1"/>
    <col min="12977" max="12977" width="8.140625" style="623" customWidth="1"/>
    <col min="12978" max="12978" width="7.28515625" style="623" customWidth="1"/>
    <col min="12979" max="12979" width="20.7109375" style="623" customWidth="1"/>
    <col min="12980" max="12980" width="15" style="623" customWidth="1"/>
    <col min="12981" max="12981" width="0.140625" style="623" customWidth="1"/>
    <col min="12982" max="12982" width="0" style="623" hidden="1" customWidth="1"/>
    <col min="12983" max="12983" width="78.85546875" style="623" customWidth="1"/>
    <col min="12984" max="12984" width="14.140625" style="623" customWidth="1"/>
    <col min="12985" max="12985" width="0.28515625" style="623" customWidth="1"/>
    <col min="12986" max="12986" width="11.7109375" style="623" customWidth="1"/>
    <col min="12987" max="12987" width="8.7109375" style="623" customWidth="1"/>
    <col min="12988" max="12988" width="0" style="623" hidden="1" customWidth="1"/>
    <col min="12989" max="12989" width="11.42578125" style="623" customWidth="1"/>
    <col min="12990" max="12992" width="0" style="623" hidden="1" customWidth="1"/>
    <col min="12993" max="12993" width="19" style="623" customWidth="1"/>
    <col min="12994" max="12994" width="17.28515625" style="623" customWidth="1"/>
    <col min="12995" max="12995" width="19.7109375" style="623" customWidth="1"/>
    <col min="12996" max="12996" width="20.7109375" style="623" customWidth="1"/>
    <col min="12997" max="12997" width="13.140625" style="623" bestFit="1" customWidth="1"/>
    <col min="12998" max="12998" width="21.5703125" style="623" customWidth="1"/>
    <col min="12999" max="12999" width="16" style="623" bestFit="1" customWidth="1"/>
    <col min="13000" max="13000" width="13.140625" style="623" bestFit="1" customWidth="1"/>
    <col min="13001" max="13001" width="38.28515625" style="623" bestFit="1" customWidth="1"/>
    <col min="13002" max="13002" width="1.28515625" style="623" customWidth="1"/>
    <col min="13003" max="13003" width="0" style="623" hidden="1" customWidth="1"/>
    <col min="13004" max="13228" width="11.42578125" style="623"/>
    <col min="13229" max="13229" width="1.42578125" style="623" customWidth="1"/>
    <col min="13230" max="13230" width="7.5703125" style="623" customWidth="1"/>
    <col min="13231" max="13231" width="4.85546875" style="623" customWidth="1"/>
    <col min="13232" max="13232" width="8" style="623" customWidth="1"/>
    <col min="13233" max="13233" width="8.140625" style="623" customWidth="1"/>
    <col min="13234" max="13234" width="7.28515625" style="623" customWidth="1"/>
    <col min="13235" max="13235" width="20.7109375" style="623" customWidth="1"/>
    <col min="13236" max="13236" width="15" style="623" customWidth="1"/>
    <col min="13237" max="13237" width="0.140625" style="623" customWidth="1"/>
    <col min="13238" max="13238" width="0" style="623" hidden="1" customWidth="1"/>
    <col min="13239" max="13239" width="78.85546875" style="623" customWidth="1"/>
    <col min="13240" max="13240" width="14.140625" style="623" customWidth="1"/>
    <col min="13241" max="13241" width="0.28515625" style="623" customWidth="1"/>
    <col min="13242" max="13242" width="11.7109375" style="623" customWidth="1"/>
    <col min="13243" max="13243" width="8.7109375" style="623" customWidth="1"/>
    <col min="13244" max="13244" width="0" style="623" hidden="1" customWidth="1"/>
    <col min="13245" max="13245" width="11.42578125" style="623" customWidth="1"/>
    <col min="13246" max="13248" width="0" style="623" hidden="1" customWidth="1"/>
    <col min="13249" max="13249" width="19" style="623" customWidth="1"/>
    <col min="13250" max="13250" width="17.28515625" style="623" customWidth="1"/>
    <col min="13251" max="13251" width="19.7109375" style="623" customWidth="1"/>
    <col min="13252" max="13252" width="20.7109375" style="623" customWidth="1"/>
    <col min="13253" max="13253" width="13.140625" style="623" bestFit="1" customWidth="1"/>
    <col min="13254" max="13254" width="21.5703125" style="623" customWidth="1"/>
    <col min="13255" max="13255" width="16" style="623" bestFit="1" customWidth="1"/>
    <col min="13256" max="13256" width="13.140625" style="623" bestFit="1" customWidth="1"/>
    <col min="13257" max="13257" width="38.28515625" style="623" bestFit="1" customWidth="1"/>
    <col min="13258" max="13258" width="1.28515625" style="623" customWidth="1"/>
    <col min="13259" max="13259" width="0" style="623" hidden="1" customWidth="1"/>
    <col min="13260" max="13484" width="11.42578125" style="623"/>
    <col min="13485" max="13485" width="1.42578125" style="623" customWidth="1"/>
    <col min="13486" max="13486" width="7.5703125" style="623" customWidth="1"/>
    <col min="13487" max="13487" width="4.85546875" style="623" customWidth="1"/>
    <col min="13488" max="13488" width="8" style="623" customWidth="1"/>
    <col min="13489" max="13489" width="8.140625" style="623" customWidth="1"/>
    <col min="13490" max="13490" width="7.28515625" style="623" customWidth="1"/>
    <col min="13491" max="13491" width="20.7109375" style="623" customWidth="1"/>
    <col min="13492" max="13492" width="15" style="623" customWidth="1"/>
    <col min="13493" max="13493" width="0.140625" style="623" customWidth="1"/>
    <col min="13494" max="13494" width="0" style="623" hidden="1" customWidth="1"/>
    <col min="13495" max="13495" width="78.85546875" style="623" customWidth="1"/>
    <col min="13496" max="13496" width="14.140625" style="623" customWidth="1"/>
    <col min="13497" max="13497" width="0.28515625" style="623" customWidth="1"/>
    <col min="13498" max="13498" width="11.7109375" style="623" customWidth="1"/>
    <col min="13499" max="13499" width="8.7109375" style="623" customWidth="1"/>
    <col min="13500" max="13500" width="0" style="623" hidden="1" customWidth="1"/>
    <col min="13501" max="13501" width="11.42578125" style="623" customWidth="1"/>
    <col min="13502" max="13504" width="0" style="623" hidden="1" customWidth="1"/>
    <col min="13505" max="13505" width="19" style="623" customWidth="1"/>
    <col min="13506" max="13506" width="17.28515625" style="623" customWidth="1"/>
    <col min="13507" max="13507" width="19.7109375" style="623" customWidth="1"/>
    <col min="13508" max="13508" width="20.7109375" style="623" customWidth="1"/>
    <col min="13509" max="13509" width="13.140625" style="623" bestFit="1" customWidth="1"/>
    <col min="13510" max="13510" width="21.5703125" style="623" customWidth="1"/>
    <col min="13511" max="13511" width="16" style="623" bestFit="1" customWidth="1"/>
    <col min="13512" max="13512" width="13.140625" style="623" bestFit="1" customWidth="1"/>
    <col min="13513" max="13513" width="38.28515625" style="623" bestFit="1" customWidth="1"/>
    <col min="13514" max="13514" width="1.28515625" style="623" customWidth="1"/>
    <col min="13515" max="13515" width="0" style="623" hidden="1" customWidth="1"/>
    <col min="13516" max="13740" width="11.42578125" style="623"/>
    <col min="13741" max="13741" width="1.42578125" style="623" customWidth="1"/>
    <col min="13742" max="13742" width="7.5703125" style="623" customWidth="1"/>
    <col min="13743" max="13743" width="4.85546875" style="623" customWidth="1"/>
    <col min="13744" max="13744" width="8" style="623" customWidth="1"/>
    <col min="13745" max="13745" width="8.140625" style="623" customWidth="1"/>
    <col min="13746" max="13746" width="7.28515625" style="623" customWidth="1"/>
    <col min="13747" max="13747" width="20.7109375" style="623" customWidth="1"/>
    <col min="13748" max="13748" width="15" style="623" customWidth="1"/>
    <col min="13749" max="13749" width="0.140625" style="623" customWidth="1"/>
    <col min="13750" max="13750" width="0" style="623" hidden="1" customWidth="1"/>
    <col min="13751" max="13751" width="78.85546875" style="623" customWidth="1"/>
    <col min="13752" max="13752" width="14.140625" style="623" customWidth="1"/>
    <col min="13753" max="13753" width="0.28515625" style="623" customWidth="1"/>
    <col min="13754" max="13754" width="11.7109375" style="623" customWidth="1"/>
    <col min="13755" max="13755" width="8.7109375" style="623" customWidth="1"/>
    <col min="13756" max="13756" width="0" style="623" hidden="1" customWidth="1"/>
    <col min="13757" max="13757" width="11.42578125" style="623" customWidth="1"/>
    <col min="13758" max="13760" width="0" style="623" hidden="1" customWidth="1"/>
    <col min="13761" max="13761" width="19" style="623" customWidth="1"/>
    <col min="13762" max="13762" width="17.28515625" style="623" customWidth="1"/>
    <col min="13763" max="13763" width="19.7109375" style="623" customWidth="1"/>
    <col min="13764" max="13764" width="20.7109375" style="623" customWidth="1"/>
    <col min="13765" max="13765" width="13.140625" style="623" bestFit="1" customWidth="1"/>
    <col min="13766" max="13766" width="21.5703125" style="623" customWidth="1"/>
    <col min="13767" max="13767" width="16" style="623" bestFit="1" customWidth="1"/>
    <col min="13768" max="13768" width="13.140625" style="623" bestFit="1" customWidth="1"/>
    <col min="13769" max="13769" width="38.28515625" style="623" bestFit="1" customWidth="1"/>
    <col min="13770" max="13770" width="1.28515625" style="623" customWidth="1"/>
    <col min="13771" max="13771" width="0" style="623" hidden="1" customWidth="1"/>
    <col min="13772" max="13996" width="11.42578125" style="623"/>
    <col min="13997" max="13997" width="1.42578125" style="623" customWidth="1"/>
    <col min="13998" max="13998" width="7.5703125" style="623" customWidth="1"/>
    <col min="13999" max="13999" width="4.85546875" style="623" customWidth="1"/>
    <col min="14000" max="14000" width="8" style="623" customWidth="1"/>
    <col min="14001" max="14001" width="8.140625" style="623" customWidth="1"/>
    <col min="14002" max="14002" width="7.28515625" style="623" customWidth="1"/>
    <col min="14003" max="14003" width="20.7109375" style="623" customWidth="1"/>
    <col min="14004" max="14004" width="15" style="623" customWidth="1"/>
    <col min="14005" max="14005" width="0.140625" style="623" customWidth="1"/>
    <col min="14006" max="14006" width="0" style="623" hidden="1" customWidth="1"/>
    <col min="14007" max="14007" width="78.85546875" style="623" customWidth="1"/>
    <col min="14008" max="14008" width="14.140625" style="623" customWidth="1"/>
    <col min="14009" max="14009" width="0.28515625" style="623" customWidth="1"/>
    <col min="14010" max="14010" width="11.7109375" style="623" customWidth="1"/>
    <col min="14011" max="14011" width="8.7109375" style="623" customWidth="1"/>
    <col min="14012" max="14012" width="0" style="623" hidden="1" customWidth="1"/>
    <col min="14013" max="14013" width="11.42578125" style="623" customWidth="1"/>
    <col min="14014" max="14016" width="0" style="623" hidden="1" customWidth="1"/>
    <col min="14017" max="14017" width="19" style="623" customWidth="1"/>
    <col min="14018" max="14018" width="17.28515625" style="623" customWidth="1"/>
    <col min="14019" max="14019" width="19.7109375" style="623" customWidth="1"/>
    <col min="14020" max="14020" width="20.7109375" style="623" customWidth="1"/>
    <col min="14021" max="14021" width="13.140625" style="623" bestFit="1" customWidth="1"/>
    <col min="14022" max="14022" width="21.5703125" style="623" customWidth="1"/>
    <col min="14023" max="14023" width="16" style="623" bestFit="1" customWidth="1"/>
    <col min="14024" max="14024" width="13.140625" style="623" bestFit="1" customWidth="1"/>
    <col min="14025" max="14025" width="38.28515625" style="623" bestFit="1" customWidth="1"/>
    <col min="14026" max="14026" width="1.28515625" style="623" customWidth="1"/>
    <col min="14027" max="14027" width="0" style="623" hidden="1" customWidth="1"/>
    <col min="14028" max="14252" width="11.42578125" style="623"/>
    <col min="14253" max="14253" width="1.42578125" style="623" customWidth="1"/>
    <col min="14254" max="14254" width="7.5703125" style="623" customWidth="1"/>
    <col min="14255" max="14255" width="4.85546875" style="623" customWidth="1"/>
    <col min="14256" max="14256" width="8" style="623" customWidth="1"/>
    <col min="14257" max="14257" width="8.140625" style="623" customWidth="1"/>
    <col min="14258" max="14258" width="7.28515625" style="623" customWidth="1"/>
    <col min="14259" max="14259" width="20.7109375" style="623" customWidth="1"/>
    <col min="14260" max="14260" width="15" style="623" customWidth="1"/>
    <col min="14261" max="14261" width="0.140625" style="623" customWidth="1"/>
    <col min="14262" max="14262" width="0" style="623" hidden="1" customWidth="1"/>
    <col min="14263" max="14263" width="78.85546875" style="623" customWidth="1"/>
    <col min="14264" max="14264" width="14.140625" style="623" customWidth="1"/>
    <col min="14265" max="14265" width="0.28515625" style="623" customWidth="1"/>
    <col min="14266" max="14266" width="11.7109375" style="623" customWidth="1"/>
    <col min="14267" max="14267" width="8.7109375" style="623" customWidth="1"/>
    <col min="14268" max="14268" width="0" style="623" hidden="1" customWidth="1"/>
    <col min="14269" max="14269" width="11.42578125" style="623" customWidth="1"/>
    <col min="14270" max="14272" width="0" style="623" hidden="1" customWidth="1"/>
    <col min="14273" max="14273" width="19" style="623" customWidth="1"/>
    <col min="14274" max="14274" width="17.28515625" style="623" customWidth="1"/>
    <col min="14275" max="14275" width="19.7109375" style="623" customWidth="1"/>
    <col min="14276" max="14276" width="20.7109375" style="623" customWidth="1"/>
    <col min="14277" max="14277" width="13.140625" style="623" bestFit="1" customWidth="1"/>
    <col min="14278" max="14278" width="21.5703125" style="623" customWidth="1"/>
    <col min="14279" max="14279" width="16" style="623" bestFit="1" customWidth="1"/>
    <col min="14280" max="14280" width="13.140625" style="623" bestFit="1" customWidth="1"/>
    <col min="14281" max="14281" width="38.28515625" style="623" bestFit="1" customWidth="1"/>
    <col min="14282" max="14282" width="1.28515625" style="623" customWidth="1"/>
    <col min="14283" max="14283" width="0" style="623" hidden="1" customWidth="1"/>
    <col min="14284" max="14508" width="11.42578125" style="623"/>
    <col min="14509" max="14509" width="1.42578125" style="623" customWidth="1"/>
    <col min="14510" max="14510" width="7.5703125" style="623" customWidth="1"/>
    <col min="14511" max="14511" width="4.85546875" style="623" customWidth="1"/>
    <col min="14512" max="14512" width="8" style="623" customWidth="1"/>
    <col min="14513" max="14513" width="8.140625" style="623" customWidth="1"/>
    <col min="14514" max="14514" width="7.28515625" style="623" customWidth="1"/>
    <col min="14515" max="14515" width="20.7109375" style="623" customWidth="1"/>
    <col min="14516" max="14516" width="15" style="623" customWidth="1"/>
    <col min="14517" max="14517" width="0.140625" style="623" customWidth="1"/>
    <col min="14518" max="14518" width="0" style="623" hidden="1" customWidth="1"/>
    <col min="14519" max="14519" width="78.85546875" style="623" customWidth="1"/>
    <col min="14520" max="14520" width="14.140625" style="623" customWidth="1"/>
    <col min="14521" max="14521" width="0.28515625" style="623" customWidth="1"/>
    <col min="14522" max="14522" width="11.7109375" style="623" customWidth="1"/>
    <col min="14523" max="14523" width="8.7109375" style="623" customWidth="1"/>
    <col min="14524" max="14524" width="0" style="623" hidden="1" customWidth="1"/>
    <col min="14525" max="14525" width="11.42578125" style="623" customWidth="1"/>
    <col min="14526" max="14528" width="0" style="623" hidden="1" customWidth="1"/>
    <col min="14529" max="14529" width="19" style="623" customWidth="1"/>
    <col min="14530" max="14530" width="17.28515625" style="623" customWidth="1"/>
    <col min="14531" max="14531" width="19.7109375" style="623" customWidth="1"/>
    <col min="14532" max="14532" width="20.7109375" style="623" customWidth="1"/>
    <col min="14533" max="14533" width="13.140625" style="623" bestFit="1" customWidth="1"/>
    <col min="14534" max="14534" width="21.5703125" style="623" customWidth="1"/>
    <col min="14535" max="14535" width="16" style="623" bestFit="1" customWidth="1"/>
    <col min="14536" max="14536" width="13.140625" style="623" bestFit="1" customWidth="1"/>
    <col min="14537" max="14537" width="38.28515625" style="623" bestFit="1" customWidth="1"/>
    <col min="14538" max="14538" width="1.28515625" style="623" customWidth="1"/>
    <col min="14539" max="14539" width="0" style="623" hidden="1" customWidth="1"/>
    <col min="14540" max="14764" width="11.42578125" style="623"/>
    <col min="14765" max="14765" width="1.42578125" style="623" customWidth="1"/>
    <col min="14766" max="14766" width="7.5703125" style="623" customWidth="1"/>
    <col min="14767" max="14767" width="4.85546875" style="623" customWidth="1"/>
    <col min="14768" max="14768" width="8" style="623" customWidth="1"/>
    <col min="14769" max="14769" width="8.140625" style="623" customWidth="1"/>
    <col min="14770" max="14770" width="7.28515625" style="623" customWidth="1"/>
    <col min="14771" max="14771" width="20.7109375" style="623" customWidth="1"/>
    <col min="14772" max="14772" width="15" style="623" customWidth="1"/>
    <col min="14773" max="14773" width="0.140625" style="623" customWidth="1"/>
    <col min="14774" max="14774" width="0" style="623" hidden="1" customWidth="1"/>
    <col min="14775" max="14775" width="78.85546875" style="623" customWidth="1"/>
    <col min="14776" max="14776" width="14.140625" style="623" customWidth="1"/>
    <col min="14777" max="14777" width="0.28515625" style="623" customWidth="1"/>
    <col min="14778" max="14778" width="11.7109375" style="623" customWidth="1"/>
    <col min="14779" max="14779" width="8.7109375" style="623" customWidth="1"/>
    <col min="14780" max="14780" width="0" style="623" hidden="1" customWidth="1"/>
    <col min="14781" max="14781" width="11.42578125" style="623" customWidth="1"/>
    <col min="14782" max="14784" width="0" style="623" hidden="1" customWidth="1"/>
    <col min="14785" max="14785" width="19" style="623" customWidth="1"/>
    <col min="14786" max="14786" width="17.28515625" style="623" customWidth="1"/>
    <col min="14787" max="14787" width="19.7109375" style="623" customWidth="1"/>
    <col min="14788" max="14788" width="20.7109375" style="623" customWidth="1"/>
    <col min="14789" max="14789" width="13.140625" style="623" bestFit="1" customWidth="1"/>
    <col min="14790" max="14790" width="21.5703125" style="623" customWidth="1"/>
    <col min="14791" max="14791" width="16" style="623" bestFit="1" customWidth="1"/>
    <col min="14792" max="14792" width="13.140625" style="623" bestFit="1" customWidth="1"/>
    <col min="14793" max="14793" width="38.28515625" style="623" bestFit="1" customWidth="1"/>
    <col min="14794" max="14794" width="1.28515625" style="623" customWidth="1"/>
    <col min="14795" max="14795" width="0" style="623" hidden="1" customWidth="1"/>
    <col min="14796" max="15020" width="11.42578125" style="623"/>
    <col min="15021" max="15021" width="1.42578125" style="623" customWidth="1"/>
    <col min="15022" max="15022" width="7.5703125" style="623" customWidth="1"/>
    <col min="15023" max="15023" width="4.85546875" style="623" customWidth="1"/>
    <col min="15024" max="15024" width="8" style="623" customWidth="1"/>
    <col min="15025" max="15025" width="8.140625" style="623" customWidth="1"/>
    <col min="15026" max="15026" width="7.28515625" style="623" customWidth="1"/>
    <col min="15027" max="15027" width="20.7109375" style="623" customWidth="1"/>
    <col min="15028" max="15028" width="15" style="623" customWidth="1"/>
    <col min="15029" max="15029" width="0.140625" style="623" customWidth="1"/>
    <col min="15030" max="15030" width="0" style="623" hidden="1" customWidth="1"/>
    <col min="15031" max="15031" width="78.85546875" style="623" customWidth="1"/>
    <col min="15032" max="15032" width="14.140625" style="623" customWidth="1"/>
    <col min="15033" max="15033" width="0.28515625" style="623" customWidth="1"/>
    <col min="15034" max="15034" width="11.7109375" style="623" customWidth="1"/>
    <col min="15035" max="15035" width="8.7109375" style="623" customWidth="1"/>
    <col min="15036" max="15036" width="0" style="623" hidden="1" customWidth="1"/>
    <col min="15037" max="15037" width="11.42578125" style="623" customWidth="1"/>
    <col min="15038" max="15040" width="0" style="623" hidden="1" customWidth="1"/>
    <col min="15041" max="15041" width="19" style="623" customWidth="1"/>
    <col min="15042" max="15042" width="17.28515625" style="623" customWidth="1"/>
    <col min="15043" max="15043" width="19.7109375" style="623" customWidth="1"/>
    <col min="15044" max="15044" width="20.7109375" style="623" customWidth="1"/>
    <col min="15045" max="15045" width="13.140625" style="623" bestFit="1" customWidth="1"/>
    <col min="15046" max="15046" width="21.5703125" style="623" customWidth="1"/>
    <col min="15047" max="15047" width="16" style="623" bestFit="1" customWidth="1"/>
    <col min="15048" max="15048" width="13.140625" style="623" bestFit="1" customWidth="1"/>
    <col min="15049" max="15049" width="38.28515625" style="623" bestFit="1" customWidth="1"/>
    <col min="15050" max="15050" width="1.28515625" style="623" customWidth="1"/>
    <col min="15051" max="15051" width="0" style="623" hidden="1" customWidth="1"/>
    <col min="15052" max="15276" width="11.42578125" style="623"/>
    <col min="15277" max="15277" width="1.42578125" style="623" customWidth="1"/>
    <col min="15278" max="15278" width="7.5703125" style="623" customWidth="1"/>
    <col min="15279" max="15279" width="4.85546875" style="623" customWidth="1"/>
    <col min="15280" max="15280" width="8" style="623" customWidth="1"/>
    <col min="15281" max="15281" width="8.140625" style="623" customWidth="1"/>
    <col min="15282" max="15282" width="7.28515625" style="623" customWidth="1"/>
    <col min="15283" max="15283" width="20.7109375" style="623" customWidth="1"/>
    <col min="15284" max="15284" width="15" style="623" customWidth="1"/>
    <col min="15285" max="15285" width="0.140625" style="623" customWidth="1"/>
    <col min="15286" max="15286" width="0" style="623" hidden="1" customWidth="1"/>
    <col min="15287" max="15287" width="78.85546875" style="623" customWidth="1"/>
    <col min="15288" max="15288" width="14.140625" style="623" customWidth="1"/>
    <col min="15289" max="15289" width="0.28515625" style="623" customWidth="1"/>
    <col min="15290" max="15290" width="11.7109375" style="623" customWidth="1"/>
    <col min="15291" max="15291" width="8.7109375" style="623" customWidth="1"/>
    <col min="15292" max="15292" width="0" style="623" hidden="1" customWidth="1"/>
    <col min="15293" max="15293" width="11.42578125" style="623" customWidth="1"/>
    <col min="15294" max="15296" width="0" style="623" hidden="1" customWidth="1"/>
    <col min="15297" max="15297" width="19" style="623" customWidth="1"/>
    <col min="15298" max="15298" width="17.28515625" style="623" customWidth="1"/>
    <col min="15299" max="15299" width="19.7109375" style="623" customWidth="1"/>
    <col min="15300" max="15300" width="20.7109375" style="623" customWidth="1"/>
    <col min="15301" max="15301" width="13.140625" style="623" bestFit="1" customWidth="1"/>
    <col min="15302" max="15302" width="21.5703125" style="623" customWidth="1"/>
    <col min="15303" max="15303" width="16" style="623" bestFit="1" customWidth="1"/>
    <col min="15304" max="15304" width="13.140625" style="623" bestFit="1" customWidth="1"/>
    <col min="15305" max="15305" width="38.28515625" style="623" bestFit="1" customWidth="1"/>
    <col min="15306" max="15306" width="1.28515625" style="623" customWidth="1"/>
    <col min="15307" max="15307" width="0" style="623" hidden="1" customWidth="1"/>
    <col min="15308" max="15532" width="11.42578125" style="623"/>
    <col min="15533" max="15533" width="1.42578125" style="623" customWidth="1"/>
    <col min="15534" max="15534" width="7.5703125" style="623" customWidth="1"/>
    <col min="15535" max="15535" width="4.85546875" style="623" customWidth="1"/>
    <col min="15536" max="15536" width="8" style="623" customWidth="1"/>
    <col min="15537" max="15537" width="8.140625" style="623" customWidth="1"/>
    <col min="15538" max="15538" width="7.28515625" style="623" customWidth="1"/>
    <col min="15539" max="15539" width="20.7109375" style="623" customWidth="1"/>
    <col min="15540" max="15540" width="15" style="623" customWidth="1"/>
    <col min="15541" max="15541" width="0.140625" style="623" customWidth="1"/>
    <col min="15542" max="15542" width="0" style="623" hidden="1" customWidth="1"/>
    <col min="15543" max="15543" width="78.85546875" style="623" customWidth="1"/>
    <col min="15544" max="15544" width="14.140625" style="623" customWidth="1"/>
    <col min="15545" max="15545" width="0.28515625" style="623" customWidth="1"/>
    <col min="15546" max="15546" width="11.7109375" style="623" customWidth="1"/>
    <col min="15547" max="15547" width="8.7109375" style="623" customWidth="1"/>
    <col min="15548" max="15548" width="0" style="623" hidden="1" customWidth="1"/>
    <col min="15549" max="15549" width="11.42578125" style="623" customWidth="1"/>
    <col min="15550" max="15552" width="0" style="623" hidden="1" customWidth="1"/>
    <col min="15553" max="15553" width="19" style="623" customWidth="1"/>
    <col min="15554" max="15554" width="17.28515625" style="623" customWidth="1"/>
    <col min="15555" max="15555" width="19.7109375" style="623" customWidth="1"/>
    <col min="15556" max="15556" width="20.7109375" style="623" customWidth="1"/>
    <col min="15557" max="15557" width="13.140625" style="623" bestFit="1" customWidth="1"/>
    <col min="15558" max="15558" width="21.5703125" style="623" customWidth="1"/>
    <col min="15559" max="15559" width="16" style="623" bestFit="1" customWidth="1"/>
    <col min="15560" max="15560" width="13.140625" style="623" bestFit="1" customWidth="1"/>
    <col min="15561" max="15561" width="38.28515625" style="623" bestFit="1" customWidth="1"/>
    <col min="15562" max="15562" width="1.28515625" style="623" customWidth="1"/>
    <col min="15563" max="15563" width="0" style="623" hidden="1" customWidth="1"/>
    <col min="15564" max="15788" width="11.42578125" style="623"/>
    <col min="15789" max="15789" width="1.42578125" style="623" customWidth="1"/>
    <col min="15790" max="15790" width="7.5703125" style="623" customWidth="1"/>
    <col min="15791" max="15791" width="4.85546875" style="623" customWidth="1"/>
    <col min="15792" max="15792" width="8" style="623" customWidth="1"/>
    <col min="15793" max="15793" width="8.140625" style="623" customWidth="1"/>
    <col min="15794" max="15794" width="7.28515625" style="623" customWidth="1"/>
    <col min="15795" max="15795" width="20.7109375" style="623" customWidth="1"/>
    <col min="15796" max="15796" width="15" style="623" customWidth="1"/>
    <col min="15797" max="15797" width="0.140625" style="623" customWidth="1"/>
    <col min="15798" max="15798" width="0" style="623" hidden="1" customWidth="1"/>
    <col min="15799" max="15799" width="78.85546875" style="623" customWidth="1"/>
    <col min="15800" max="15800" width="14.140625" style="623" customWidth="1"/>
    <col min="15801" max="15801" width="0.28515625" style="623" customWidth="1"/>
    <col min="15802" max="15802" width="11.7109375" style="623" customWidth="1"/>
    <col min="15803" max="15803" width="8.7109375" style="623" customWidth="1"/>
    <col min="15804" max="15804" width="0" style="623" hidden="1" customWidth="1"/>
    <col min="15805" max="15805" width="11.42578125" style="623" customWidth="1"/>
    <col min="15806" max="15808" width="0" style="623" hidden="1" customWidth="1"/>
    <col min="15809" max="15809" width="19" style="623" customWidth="1"/>
    <col min="15810" max="15810" width="17.28515625" style="623" customWidth="1"/>
    <col min="15811" max="15811" width="19.7109375" style="623" customWidth="1"/>
    <col min="15812" max="15812" width="20.7109375" style="623" customWidth="1"/>
    <col min="15813" max="15813" width="13.140625" style="623" bestFit="1" customWidth="1"/>
    <col min="15814" max="15814" width="21.5703125" style="623" customWidth="1"/>
    <col min="15815" max="15815" width="16" style="623" bestFit="1" customWidth="1"/>
    <col min="15816" max="15816" width="13.140625" style="623" bestFit="1" customWidth="1"/>
    <col min="15817" max="15817" width="38.28515625" style="623" bestFit="1" customWidth="1"/>
    <col min="15818" max="15818" width="1.28515625" style="623" customWidth="1"/>
    <col min="15819" max="15819" width="0" style="623" hidden="1" customWidth="1"/>
    <col min="15820" max="16044" width="11.42578125" style="623"/>
    <col min="16045" max="16045" width="1.42578125" style="623" customWidth="1"/>
    <col min="16046" max="16046" width="7.5703125" style="623" customWidth="1"/>
    <col min="16047" max="16047" width="4.85546875" style="623" customWidth="1"/>
    <col min="16048" max="16048" width="8" style="623" customWidth="1"/>
    <col min="16049" max="16049" width="8.140625" style="623" customWidth="1"/>
    <col min="16050" max="16050" width="7.28515625" style="623" customWidth="1"/>
    <col min="16051" max="16051" width="20.7109375" style="623" customWidth="1"/>
    <col min="16052" max="16052" width="15" style="623" customWidth="1"/>
    <col min="16053" max="16053" width="0.140625" style="623" customWidth="1"/>
    <col min="16054" max="16054" width="0" style="623" hidden="1" customWidth="1"/>
    <col min="16055" max="16055" width="78.85546875" style="623" customWidth="1"/>
    <col min="16056" max="16056" width="14.140625" style="623" customWidth="1"/>
    <col min="16057" max="16057" width="0.28515625" style="623" customWidth="1"/>
    <col min="16058" max="16058" width="11.7109375" style="623" customWidth="1"/>
    <col min="16059" max="16059" width="8.7109375" style="623" customWidth="1"/>
    <col min="16060" max="16060" width="0" style="623" hidden="1" customWidth="1"/>
    <col min="16061" max="16061" width="11.42578125" style="623" customWidth="1"/>
    <col min="16062" max="16064" width="0" style="623" hidden="1" customWidth="1"/>
    <col min="16065" max="16065" width="19" style="623" customWidth="1"/>
    <col min="16066" max="16066" width="17.28515625" style="623" customWidth="1"/>
    <col min="16067" max="16067" width="19.7109375" style="623" customWidth="1"/>
    <col min="16068" max="16068" width="20.7109375" style="623" customWidth="1"/>
    <col min="16069" max="16069" width="13.140625" style="623" bestFit="1" customWidth="1"/>
    <col min="16070" max="16070" width="21.5703125" style="623" customWidth="1"/>
    <col min="16071" max="16071" width="16" style="623" bestFit="1" customWidth="1"/>
    <col min="16072" max="16072" width="13.140625" style="623" bestFit="1" customWidth="1"/>
    <col min="16073" max="16073" width="38.28515625" style="623" bestFit="1" customWidth="1"/>
    <col min="16074" max="16074" width="1.28515625" style="623" customWidth="1"/>
    <col min="16075" max="16075" width="0" style="623" hidden="1" customWidth="1"/>
    <col min="16076" max="16384" width="11.42578125" style="623"/>
  </cols>
  <sheetData>
    <row r="1" spans="1:37" ht="15.75" customHeight="1" x14ac:dyDescent="0.2">
      <c r="A1" s="627"/>
      <c r="B1" s="627"/>
      <c r="C1" s="627"/>
      <c r="D1" s="627"/>
      <c r="E1" s="1391" t="s">
        <v>544</v>
      </c>
      <c r="F1" s="1391"/>
      <c r="G1" s="1391"/>
      <c r="H1" s="1391"/>
      <c r="I1" s="1391"/>
      <c r="J1" s="1391"/>
      <c r="K1" s="1391"/>
      <c r="L1" s="1391"/>
      <c r="M1" s="1391"/>
      <c r="N1" s="1391"/>
      <c r="O1" s="1391"/>
      <c r="P1" s="1391"/>
      <c r="Q1" s="1391"/>
      <c r="R1" s="1391"/>
      <c r="S1" s="1391"/>
      <c r="T1" s="1391"/>
      <c r="U1" s="1391"/>
      <c r="V1" s="1391"/>
      <c r="W1" s="1391"/>
      <c r="X1" s="674" t="s">
        <v>514</v>
      </c>
      <c r="Y1" s="678"/>
      <c r="Z1" s="679"/>
    </row>
    <row r="2" spans="1:37" ht="13.5" customHeight="1" x14ac:dyDescent="0.25">
      <c r="A2" s="627"/>
      <c r="B2" s="627"/>
      <c r="C2" s="627"/>
      <c r="D2" s="627"/>
      <c r="E2" s="1391"/>
      <c r="F2" s="1391"/>
      <c r="G2" s="1391"/>
      <c r="H2" s="1391"/>
      <c r="I2" s="1391"/>
      <c r="J2" s="1391"/>
      <c r="K2" s="1391"/>
      <c r="L2" s="1391"/>
      <c r="M2" s="1391"/>
      <c r="N2" s="1391"/>
      <c r="O2" s="1391"/>
      <c r="P2" s="1391"/>
      <c r="Q2" s="1391"/>
      <c r="R2" s="1391"/>
      <c r="S2" s="1391"/>
      <c r="T2" s="1391"/>
      <c r="U2" s="1391"/>
      <c r="V2" s="1391"/>
      <c r="W2" s="1391"/>
      <c r="X2" s="674" t="s">
        <v>608</v>
      </c>
      <c r="Y2" s="809">
        <v>4</v>
      </c>
      <c r="Z2" s="679"/>
    </row>
    <row r="3" spans="1:37" ht="15.75" customHeight="1" x14ac:dyDescent="0.2">
      <c r="A3" s="627"/>
      <c r="B3" s="627"/>
      <c r="C3" s="627"/>
      <c r="D3" s="627"/>
      <c r="E3" s="1391"/>
      <c r="F3" s="1391"/>
      <c r="G3" s="1391"/>
      <c r="H3" s="1391"/>
      <c r="I3" s="1391"/>
      <c r="J3" s="1391"/>
      <c r="K3" s="1391"/>
      <c r="L3" s="1391"/>
      <c r="M3" s="1391"/>
      <c r="N3" s="1391"/>
      <c r="O3" s="1391"/>
      <c r="P3" s="1391"/>
      <c r="Q3" s="1391"/>
      <c r="R3" s="1391"/>
      <c r="S3" s="1391"/>
      <c r="T3" s="1391"/>
      <c r="U3" s="1391"/>
      <c r="V3" s="1391"/>
      <c r="W3" s="1391"/>
      <c r="X3" s="674" t="s">
        <v>710</v>
      </c>
      <c r="Y3" s="678"/>
      <c r="Z3" s="680"/>
    </row>
    <row r="4" spans="1:37" ht="13.5" hidden="1" customHeight="1" x14ac:dyDescent="0.2">
      <c r="A4" s="627"/>
      <c r="B4" s="627"/>
      <c r="C4" s="627"/>
      <c r="D4" s="629"/>
      <c r="E4" s="1391"/>
      <c r="F4" s="1391"/>
      <c r="G4" s="1391"/>
      <c r="H4" s="1391"/>
      <c r="I4" s="1391"/>
      <c r="J4" s="1391"/>
      <c r="K4" s="1391"/>
      <c r="L4" s="1391"/>
      <c r="M4" s="1391"/>
      <c r="N4" s="1391"/>
      <c r="O4" s="1391"/>
      <c r="P4" s="1391"/>
      <c r="Q4" s="1391"/>
      <c r="R4" s="1391"/>
      <c r="S4" s="1391"/>
      <c r="T4" s="1391"/>
      <c r="U4" s="1391"/>
      <c r="V4" s="1391"/>
      <c r="W4" s="1391"/>
      <c r="X4" s="674" t="s">
        <v>711</v>
      </c>
      <c r="Y4" s="678"/>
      <c r="Z4" s="681"/>
    </row>
    <row r="5" spans="1:37" ht="7.5" hidden="1" customHeight="1" x14ac:dyDescent="0.2">
      <c r="A5" s="627"/>
      <c r="B5" s="627"/>
      <c r="C5" s="627"/>
      <c r="D5" s="627"/>
      <c r="E5" s="1391"/>
      <c r="F5" s="1391"/>
      <c r="G5" s="1391"/>
      <c r="H5" s="1391"/>
      <c r="I5" s="1391"/>
      <c r="J5" s="1391"/>
      <c r="K5" s="1391"/>
      <c r="L5" s="1391"/>
      <c r="M5" s="1391"/>
      <c r="N5" s="1391"/>
      <c r="O5" s="1391"/>
      <c r="P5" s="1391"/>
      <c r="Q5" s="1391"/>
      <c r="R5" s="1391"/>
      <c r="S5" s="1391"/>
      <c r="T5" s="1391"/>
      <c r="U5" s="1391"/>
      <c r="V5" s="1391"/>
      <c r="W5" s="1391"/>
      <c r="X5" s="652"/>
      <c r="Y5" s="652"/>
      <c r="Z5" s="682"/>
    </row>
    <row r="6" spans="1:37" ht="13.5" customHeight="1" x14ac:dyDescent="0.2">
      <c r="A6" s="627"/>
      <c r="B6" s="627"/>
      <c r="C6" s="627"/>
      <c r="D6" s="627"/>
      <c r="E6" s="627"/>
      <c r="F6" s="630"/>
      <c r="G6" s="630"/>
      <c r="H6" s="630"/>
      <c r="I6" s="631"/>
      <c r="J6" s="632"/>
      <c r="K6" s="633"/>
      <c r="L6" s="633"/>
      <c r="M6" s="633"/>
      <c r="N6" s="632"/>
      <c r="O6" s="632"/>
      <c r="P6" s="632"/>
      <c r="Q6" s="632"/>
      <c r="R6" s="632"/>
      <c r="S6" s="628"/>
      <c r="T6" s="628"/>
      <c r="U6" s="628"/>
      <c r="V6" s="628"/>
      <c r="W6" s="652"/>
      <c r="X6" s="652"/>
      <c r="Y6" s="652"/>
      <c r="Z6" s="683"/>
    </row>
    <row r="7" spans="1:37" ht="21.75" customHeight="1" x14ac:dyDescent="0.2">
      <c r="A7" s="1392" t="s">
        <v>515</v>
      </c>
      <c r="B7" s="1393"/>
      <c r="C7" s="1393"/>
      <c r="D7" s="634"/>
      <c r="E7" s="1392" t="s">
        <v>516</v>
      </c>
      <c r="F7" s="1393"/>
      <c r="G7" s="1393"/>
      <c r="H7" s="1393"/>
      <c r="I7" s="1393"/>
      <c r="J7" s="1393"/>
      <c r="K7" s="1393"/>
      <c r="L7" s="1393"/>
      <c r="M7" s="1393"/>
      <c r="N7" s="1393"/>
      <c r="O7" s="1393"/>
      <c r="P7" s="1393"/>
      <c r="Q7" s="1393"/>
      <c r="R7" s="1393"/>
      <c r="S7" s="1393"/>
      <c r="T7" s="1393"/>
      <c r="U7" s="1393"/>
      <c r="V7" s="1393"/>
      <c r="W7" s="1393"/>
      <c r="X7" s="1393"/>
      <c r="Y7" s="1393"/>
      <c r="Z7" s="1394"/>
    </row>
    <row r="8" spans="1:37" ht="16.5" customHeight="1" x14ac:dyDescent="0.2">
      <c r="A8" s="1392" t="s">
        <v>517</v>
      </c>
      <c r="B8" s="1393"/>
      <c r="C8" s="1393"/>
      <c r="D8" s="713"/>
      <c r="E8" s="1395" t="s">
        <v>518</v>
      </c>
      <c r="F8" s="1396"/>
      <c r="G8" s="1396"/>
      <c r="H8" s="1396"/>
      <c r="I8" s="1396"/>
      <c r="J8" s="1396"/>
      <c r="K8" s="1396"/>
      <c r="L8" s="1396"/>
      <c r="M8" s="1396"/>
      <c r="N8" s="1396"/>
      <c r="O8" s="1396"/>
      <c r="P8" s="1396"/>
      <c r="Q8" s="1396"/>
      <c r="R8" s="1396"/>
      <c r="S8" s="1396"/>
      <c r="T8" s="1396"/>
      <c r="U8" s="1396"/>
      <c r="V8" s="1396"/>
      <c r="W8" s="1396"/>
      <c r="X8" s="1396"/>
      <c r="Y8" s="1396"/>
      <c r="Z8" s="1397"/>
    </row>
    <row r="9" spans="1:37" ht="20.25" customHeight="1" x14ac:dyDescent="0.2">
      <c r="A9" s="1398" t="s">
        <v>519</v>
      </c>
      <c r="B9" s="1398"/>
      <c r="C9" s="1392"/>
      <c r="D9" s="712"/>
      <c r="E9" s="1392" t="s">
        <v>520</v>
      </c>
      <c r="F9" s="1393"/>
      <c r="G9" s="1393"/>
      <c r="H9" s="1393"/>
      <c r="I9" s="1393"/>
      <c r="J9" s="1393"/>
      <c r="K9" s="1393"/>
      <c r="L9" s="1393"/>
      <c r="M9" s="1393"/>
      <c r="N9" s="1393"/>
      <c r="O9" s="1393"/>
      <c r="P9" s="1393"/>
      <c r="Q9" s="1393"/>
      <c r="R9" s="1393"/>
      <c r="S9" s="1393"/>
      <c r="T9" s="1393"/>
      <c r="U9" s="1393"/>
      <c r="V9" s="1393"/>
      <c r="W9" s="1393"/>
      <c r="X9" s="1393"/>
      <c r="Y9" s="1393"/>
      <c r="Z9" s="1394"/>
    </row>
    <row r="10" spans="1:37" ht="18.75" customHeight="1" x14ac:dyDescent="0.2">
      <c r="A10" s="1398" t="s">
        <v>521</v>
      </c>
      <c r="B10" s="1398"/>
      <c r="C10" s="1392"/>
      <c r="D10" s="712"/>
      <c r="E10" s="1401" t="s">
        <v>522</v>
      </c>
      <c r="F10" s="1401"/>
      <c r="G10" s="1401"/>
      <c r="H10" s="1401"/>
      <c r="I10" s="1401"/>
      <c r="J10" s="1401"/>
      <c r="K10" s="1401"/>
      <c r="L10" s="1401"/>
      <c r="M10" s="1401"/>
      <c r="N10" s="1401"/>
      <c r="O10" s="1401"/>
      <c r="P10" s="1401"/>
      <c r="Q10" s="1401"/>
      <c r="R10" s="1401"/>
      <c r="S10" s="1401"/>
      <c r="T10" s="1401"/>
      <c r="U10" s="1401"/>
      <c r="V10" s="1401"/>
      <c r="W10" s="1401"/>
      <c r="X10" s="1401"/>
      <c r="Y10" s="1401"/>
      <c r="Z10" s="1401"/>
    </row>
    <row r="11" spans="1:37" ht="17.25" customHeight="1" x14ac:dyDescent="0.2">
      <c r="A11" s="710" t="s">
        <v>538</v>
      </c>
      <c r="B11" s="710"/>
      <c r="C11" s="711"/>
      <c r="D11" s="712"/>
      <c r="E11" s="1402" t="s">
        <v>766</v>
      </c>
      <c r="F11" s="1403"/>
      <c r="G11" s="1403"/>
      <c r="H11" s="1403"/>
      <c r="I11" s="1403"/>
      <c r="J11" s="1403"/>
      <c r="K11" s="1403"/>
      <c r="L11" s="1403"/>
      <c r="M11" s="1403"/>
      <c r="N11" s="1403"/>
      <c r="O11" s="1403"/>
      <c r="P11" s="1403"/>
      <c r="Q11" s="1403"/>
      <c r="R11" s="1403"/>
      <c r="S11" s="1403"/>
      <c r="T11" s="1403"/>
      <c r="U11" s="1403"/>
      <c r="V11" s="1403"/>
      <c r="W11" s="1403"/>
      <c r="X11" s="1403"/>
      <c r="Y11" s="1403"/>
      <c r="Z11" s="1404"/>
    </row>
    <row r="12" spans="1:37" ht="17.25" customHeight="1" x14ac:dyDescent="0.2">
      <c r="A12" s="710" t="s">
        <v>538</v>
      </c>
      <c r="B12" s="710"/>
      <c r="C12" s="711"/>
      <c r="D12" s="712"/>
      <c r="E12" s="1392" t="s">
        <v>512</v>
      </c>
      <c r="F12" s="1393"/>
      <c r="G12" s="1393"/>
      <c r="H12" s="1393"/>
      <c r="I12" s="1393"/>
      <c r="J12" s="1393"/>
      <c r="K12" s="1393"/>
      <c r="L12" s="1393"/>
      <c r="M12" s="1393"/>
      <c r="N12" s="1393"/>
      <c r="O12" s="1393"/>
      <c r="P12" s="1393"/>
      <c r="Q12" s="1393"/>
      <c r="R12" s="1393"/>
      <c r="S12" s="1393"/>
      <c r="T12" s="1393"/>
      <c r="U12" s="1393"/>
      <c r="V12" s="1393"/>
      <c r="W12" s="1393"/>
      <c r="X12" s="1393"/>
      <c r="Y12" s="1393"/>
      <c r="Z12" s="1394"/>
    </row>
    <row r="13" spans="1:37" ht="33.75" customHeight="1" x14ac:dyDescent="0.2">
      <c r="A13" s="1339" t="s">
        <v>523</v>
      </c>
      <c r="B13" s="1339" t="s">
        <v>524</v>
      </c>
      <c r="C13" s="1339" t="s">
        <v>525</v>
      </c>
      <c r="D13" s="1339" t="s">
        <v>526</v>
      </c>
      <c r="E13" s="1339" t="s">
        <v>864</v>
      </c>
      <c r="F13" s="1390" t="s">
        <v>3</v>
      </c>
      <c r="G13" s="1390" t="s">
        <v>863</v>
      </c>
      <c r="H13" s="953"/>
      <c r="I13" s="1384" t="s">
        <v>619</v>
      </c>
      <c r="J13" s="1384" t="s">
        <v>599</v>
      </c>
      <c r="K13" s="1384" t="s">
        <v>484</v>
      </c>
      <c r="L13" s="1386" t="s">
        <v>546</v>
      </c>
      <c r="M13" s="1386" t="s">
        <v>786</v>
      </c>
      <c r="N13" s="1386" t="s">
        <v>787</v>
      </c>
      <c r="O13" s="1386" t="s">
        <v>788</v>
      </c>
      <c r="P13" s="1343" t="s">
        <v>767</v>
      </c>
      <c r="Q13" s="1344" t="s">
        <v>528</v>
      </c>
      <c r="R13" s="1345"/>
      <c r="S13" s="1345"/>
      <c r="T13" s="1345"/>
      <c r="U13" s="1345"/>
      <c r="V13" s="954"/>
      <c r="W13" s="1381" t="s">
        <v>613</v>
      </c>
      <c r="X13" s="1382"/>
      <c r="Y13" s="1382"/>
      <c r="Z13" s="1383"/>
      <c r="AA13" s="1318" t="s">
        <v>1210</v>
      </c>
      <c r="AB13" s="1319"/>
      <c r="AC13" s="1319"/>
      <c r="AD13" s="1319"/>
      <c r="AE13" s="1319"/>
      <c r="AF13" s="1319"/>
      <c r="AG13" s="1320"/>
      <c r="AH13" s="1318" t="s">
        <v>870</v>
      </c>
      <c r="AI13" s="1319"/>
      <c r="AJ13" s="1319"/>
      <c r="AK13" s="1320"/>
    </row>
    <row r="14" spans="1:37" s="624" customFormat="1" ht="94.5" customHeight="1" x14ac:dyDescent="0.2">
      <c r="A14" s="1405"/>
      <c r="B14" s="1339"/>
      <c r="C14" s="1339"/>
      <c r="D14" s="1339"/>
      <c r="E14" s="1339"/>
      <c r="F14" s="1390"/>
      <c r="G14" s="1390"/>
      <c r="H14" s="953"/>
      <c r="I14" s="1385"/>
      <c r="J14" s="1385"/>
      <c r="K14" s="1385"/>
      <c r="L14" s="1386"/>
      <c r="M14" s="1386"/>
      <c r="N14" s="1386" t="s">
        <v>789</v>
      </c>
      <c r="O14" s="1386" t="s">
        <v>788</v>
      </c>
      <c r="P14" s="1343"/>
      <c r="Q14" s="955" t="s">
        <v>583</v>
      </c>
      <c r="R14" s="955" t="s">
        <v>614</v>
      </c>
      <c r="S14" s="955" t="s">
        <v>584</v>
      </c>
      <c r="T14" s="955" t="s">
        <v>742</v>
      </c>
      <c r="U14" s="956" t="s">
        <v>586</v>
      </c>
      <c r="V14" s="956" t="s">
        <v>761</v>
      </c>
      <c r="W14" s="957" t="s">
        <v>615</v>
      </c>
      <c r="X14" s="957" t="s">
        <v>616</v>
      </c>
      <c r="Y14" s="957" t="s">
        <v>762</v>
      </c>
      <c r="Z14" s="958" t="s">
        <v>6</v>
      </c>
      <c r="AA14" s="822" t="s">
        <v>481</v>
      </c>
      <c r="AB14" s="823" t="s">
        <v>480</v>
      </c>
      <c r="AC14" s="823" t="s">
        <v>875</v>
      </c>
      <c r="AD14" s="824" t="s">
        <v>6</v>
      </c>
      <c r="AE14" s="825" t="s">
        <v>479</v>
      </c>
      <c r="AF14" s="826" t="s">
        <v>478</v>
      </c>
      <c r="AG14" s="826" t="s">
        <v>477</v>
      </c>
      <c r="AH14" s="822" t="s">
        <v>481</v>
      </c>
      <c r="AI14" s="823" t="s">
        <v>480</v>
      </c>
      <c r="AJ14" s="823" t="s">
        <v>875</v>
      </c>
      <c r="AK14" s="824" t="s">
        <v>6</v>
      </c>
    </row>
    <row r="15" spans="1:37" s="608" customFormat="1" ht="77.25" customHeight="1" x14ac:dyDescent="0.2">
      <c r="A15" s="1338" t="str">
        <f>+E11</f>
        <v>115 Fortalecimiento Institucional desde la Gestión Pedagógica</v>
      </c>
      <c r="B15" s="1338" t="s">
        <v>768</v>
      </c>
      <c r="C15" s="1338" t="s">
        <v>511</v>
      </c>
      <c r="D15" s="1338" t="s">
        <v>510</v>
      </c>
      <c r="E15" s="1338" t="s">
        <v>531</v>
      </c>
      <c r="F15" s="1399" t="s">
        <v>560</v>
      </c>
      <c r="G15" s="946">
        <v>43</v>
      </c>
      <c r="H15" s="865">
        <v>50</v>
      </c>
      <c r="I15" s="1013" t="s">
        <v>719</v>
      </c>
      <c r="J15" s="946">
        <v>80111621</v>
      </c>
      <c r="K15" s="598" t="s">
        <v>677</v>
      </c>
      <c r="L15" s="946">
        <v>30303</v>
      </c>
      <c r="M15" s="946" t="s">
        <v>790</v>
      </c>
      <c r="N15" s="946" t="s">
        <v>791</v>
      </c>
      <c r="O15" s="946" t="s">
        <v>792</v>
      </c>
      <c r="P15" s="599" t="s">
        <v>587</v>
      </c>
      <c r="Q15" s="600" t="s">
        <v>548</v>
      </c>
      <c r="R15" s="601" t="s">
        <v>548</v>
      </c>
      <c r="S15" s="602">
        <v>10</v>
      </c>
      <c r="T15" s="603">
        <v>1</v>
      </c>
      <c r="U15" s="952" t="s">
        <v>611</v>
      </c>
      <c r="V15" s="717" t="str">
        <f>IF(U15=listas!$C$1,listas!$B$1,IF(U15=listas!$C$2,listas!$B$2,IF(U15=listas!$C$3,listas!$B$3,IF(U15=listas!$C$4,listas!$B$4,IF(U15=listas!$C$5,listas!$B$5,IF(U15=listas!$C$6,listas!$B$6,IF(U15=listas!$C$7,listas!$B$7,IF(U15=listas!$C$8,listas!$B$8,""))))))))</f>
        <v/>
      </c>
      <c r="W15" s="653">
        <v>73600000</v>
      </c>
      <c r="X15" s="653"/>
      <c r="Y15" s="653"/>
      <c r="Z15" s="835">
        <f t="shared" ref="Z15:Z21" si="0">+W15+X15</f>
        <v>73600000</v>
      </c>
      <c r="AA15" s="653">
        <v>73600000</v>
      </c>
      <c r="AB15" s="653"/>
      <c r="AC15" s="653"/>
      <c r="AD15" s="653">
        <f t="shared" ref="AD15:AD21" si="1">+AA15+AB15</f>
        <v>73600000</v>
      </c>
      <c r="AE15" s="919">
        <v>43116</v>
      </c>
      <c r="AF15" s="777">
        <v>12</v>
      </c>
      <c r="AG15" s="779" t="s">
        <v>919</v>
      </c>
      <c r="AH15" s="607"/>
      <c r="AI15" s="607"/>
      <c r="AJ15" s="607"/>
      <c r="AK15" s="653"/>
    </row>
    <row r="16" spans="1:37" s="608" customFormat="1" ht="63.75" customHeight="1" x14ac:dyDescent="0.2">
      <c r="A16" s="1338"/>
      <c r="B16" s="1338"/>
      <c r="C16" s="1338"/>
      <c r="D16" s="1338"/>
      <c r="E16" s="1338"/>
      <c r="F16" s="1399"/>
      <c r="G16" s="946">
        <v>44</v>
      </c>
      <c r="H16" s="865">
        <v>51</v>
      </c>
      <c r="I16" s="735" t="s">
        <v>720</v>
      </c>
      <c r="J16" s="946">
        <v>80111621</v>
      </c>
      <c r="K16" s="598" t="s">
        <v>677</v>
      </c>
      <c r="L16" s="946">
        <v>30303</v>
      </c>
      <c r="M16" s="946" t="s">
        <v>790</v>
      </c>
      <c r="N16" s="946" t="s">
        <v>791</v>
      </c>
      <c r="O16" s="946" t="s">
        <v>792</v>
      </c>
      <c r="P16" s="599" t="s">
        <v>587</v>
      </c>
      <c r="Q16" s="600" t="s">
        <v>548</v>
      </c>
      <c r="R16" s="601" t="s">
        <v>548</v>
      </c>
      <c r="S16" s="602">
        <v>10</v>
      </c>
      <c r="T16" s="603">
        <v>1</v>
      </c>
      <c r="U16" s="952" t="s">
        <v>611</v>
      </c>
      <c r="V16" s="717" t="str">
        <f>IF(U16=listas!$C$1,listas!$B$1,IF(U16=listas!$C$2,listas!$B$2,IF(U16=listas!$C$3,listas!$B$3,IF(U16=listas!$C$4,listas!$B$4,IF(U16=listas!$C$5,listas!$B$5,IF(U16=listas!$C$6,listas!$B$6,IF(U16=listas!$C$7,listas!$B$7,IF(U16=listas!$C$8,listas!$B$8,""))))))))</f>
        <v/>
      </c>
      <c r="W16" s="653">
        <v>70000000</v>
      </c>
      <c r="X16" s="653"/>
      <c r="Y16" s="653"/>
      <c r="Z16" s="835">
        <f t="shared" si="0"/>
        <v>70000000</v>
      </c>
      <c r="AA16" s="653">
        <v>70000000</v>
      </c>
      <c r="AB16" s="653"/>
      <c r="AC16" s="653"/>
      <c r="AD16" s="653">
        <f t="shared" si="1"/>
        <v>70000000</v>
      </c>
      <c r="AE16" s="919">
        <v>43116</v>
      </c>
      <c r="AF16" s="777">
        <v>13</v>
      </c>
      <c r="AG16" s="779" t="s">
        <v>920</v>
      </c>
      <c r="AH16" s="607"/>
      <c r="AI16" s="607"/>
      <c r="AJ16" s="607"/>
      <c r="AK16" s="653"/>
    </row>
    <row r="17" spans="1:39" s="608" customFormat="1" ht="64.5" customHeight="1" x14ac:dyDescent="0.2">
      <c r="A17" s="1338"/>
      <c r="B17" s="1338"/>
      <c r="C17" s="1338"/>
      <c r="D17" s="1338"/>
      <c r="E17" s="1338"/>
      <c r="F17" s="1399"/>
      <c r="G17" s="946">
        <v>45</v>
      </c>
      <c r="H17" s="865">
        <v>52</v>
      </c>
      <c r="I17" s="735" t="s">
        <v>721</v>
      </c>
      <c r="J17" s="946">
        <v>80111621</v>
      </c>
      <c r="K17" s="598" t="s">
        <v>677</v>
      </c>
      <c r="L17" s="946">
        <v>30303</v>
      </c>
      <c r="M17" s="946" t="s">
        <v>790</v>
      </c>
      <c r="N17" s="946" t="s">
        <v>791</v>
      </c>
      <c r="O17" s="946" t="s">
        <v>792</v>
      </c>
      <c r="P17" s="599" t="s">
        <v>587</v>
      </c>
      <c r="Q17" s="600" t="s">
        <v>548</v>
      </c>
      <c r="R17" s="601" t="s">
        <v>548</v>
      </c>
      <c r="S17" s="602">
        <v>10</v>
      </c>
      <c r="T17" s="603">
        <v>1</v>
      </c>
      <c r="U17" s="952" t="s">
        <v>611</v>
      </c>
      <c r="V17" s="717" t="str">
        <f>IF(U17=listas!$C$1,listas!$B$1,IF(U17=listas!$C$2,listas!$B$2,IF(U17=listas!$C$3,listas!$B$3,IF(U17=listas!$C$4,listas!$B$4,IF(U17=listas!$C$5,listas!$B$5,IF(U17=listas!$C$6,listas!$B$6,IF(U17=listas!$C$7,listas!$B$7,IF(U17=listas!$C$8,listas!$B$8,""))))))))</f>
        <v/>
      </c>
      <c r="W17" s="653">
        <v>70000000</v>
      </c>
      <c r="X17" s="653"/>
      <c r="Y17" s="653"/>
      <c r="Z17" s="835">
        <f t="shared" si="0"/>
        <v>70000000</v>
      </c>
      <c r="AA17" s="653">
        <v>70000000</v>
      </c>
      <c r="AB17" s="653"/>
      <c r="AC17" s="653"/>
      <c r="AD17" s="653">
        <f t="shared" si="1"/>
        <v>70000000</v>
      </c>
      <c r="AE17" s="919">
        <v>43116</v>
      </c>
      <c r="AF17" s="777">
        <v>14</v>
      </c>
      <c r="AG17" s="779" t="s">
        <v>921</v>
      </c>
      <c r="AH17" s="607"/>
      <c r="AI17" s="607"/>
      <c r="AJ17" s="607"/>
      <c r="AK17" s="653"/>
    </row>
    <row r="18" spans="1:39" s="608" customFormat="1" ht="33.75" customHeight="1" x14ac:dyDescent="0.2">
      <c r="A18" s="1338"/>
      <c r="B18" s="1338"/>
      <c r="C18" s="1338"/>
      <c r="D18" s="1338"/>
      <c r="E18" s="1338"/>
      <c r="F18" s="1399"/>
      <c r="G18" s="946">
        <v>46</v>
      </c>
      <c r="H18" s="865">
        <v>54</v>
      </c>
      <c r="I18" s="735" t="s">
        <v>559</v>
      </c>
      <c r="J18" s="946">
        <v>80111601</v>
      </c>
      <c r="K18" s="598" t="s">
        <v>677</v>
      </c>
      <c r="L18" s="946">
        <v>30303</v>
      </c>
      <c r="M18" s="946" t="s">
        <v>790</v>
      </c>
      <c r="N18" s="946" t="s">
        <v>777</v>
      </c>
      <c r="O18" s="946" t="s">
        <v>793</v>
      </c>
      <c r="P18" s="599" t="s">
        <v>587</v>
      </c>
      <c r="Q18" s="600" t="s">
        <v>548</v>
      </c>
      <c r="R18" s="601" t="s">
        <v>548</v>
      </c>
      <c r="S18" s="602">
        <v>350</v>
      </c>
      <c r="T18" s="603">
        <v>0</v>
      </c>
      <c r="U18" s="952" t="s">
        <v>611</v>
      </c>
      <c r="V18" s="717" t="str">
        <f>IF(U18=listas!$C$1,listas!$B$1,IF(U18=listas!$C$2,listas!$B$2,IF(U18=listas!$C$3,listas!$B$3,IF(U18=listas!$C$4,listas!$B$4,IF(U18=listas!$C$5,listas!$B$5,IF(U18=listas!$C$6,listas!$B$6,IF(U18=listas!$C$7,listas!$B$7,IF(U18=listas!$C$8,listas!$B$8,""))))))))</f>
        <v/>
      </c>
      <c r="W18" s="653">
        <v>44115472</v>
      </c>
      <c r="X18" s="653"/>
      <c r="Y18" s="653"/>
      <c r="Z18" s="835">
        <f t="shared" si="0"/>
        <v>44115472</v>
      </c>
      <c r="AA18" s="653">
        <v>44115472</v>
      </c>
      <c r="AB18" s="653"/>
      <c r="AC18" s="653"/>
      <c r="AD18" s="653">
        <f t="shared" si="1"/>
        <v>44115472</v>
      </c>
      <c r="AE18" s="919">
        <v>43110</v>
      </c>
      <c r="AF18" s="716">
        <v>5</v>
      </c>
      <c r="AG18" s="779" t="s">
        <v>922</v>
      </c>
      <c r="AH18" s="814"/>
      <c r="AI18" s="607"/>
      <c r="AJ18" s="607"/>
      <c r="AK18" s="653"/>
    </row>
    <row r="19" spans="1:39" s="608" customFormat="1" ht="50.25" customHeight="1" x14ac:dyDescent="0.2">
      <c r="A19" s="1338"/>
      <c r="B19" s="1338"/>
      <c r="C19" s="1338"/>
      <c r="D19" s="1338"/>
      <c r="E19" s="1338"/>
      <c r="F19" s="1399"/>
      <c r="G19" s="946">
        <v>47</v>
      </c>
      <c r="H19" s="865">
        <v>55</v>
      </c>
      <c r="I19" s="735" t="s">
        <v>722</v>
      </c>
      <c r="J19" s="946">
        <v>80111621</v>
      </c>
      <c r="K19" s="598" t="s">
        <v>677</v>
      </c>
      <c r="L19" s="946">
        <v>30303</v>
      </c>
      <c r="M19" s="946" t="s">
        <v>790</v>
      </c>
      <c r="N19" s="946" t="s">
        <v>791</v>
      </c>
      <c r="O19" s="946" t="s">
        <v>794</v>
      </c>
      <c r="P19" s="599" t="s">
        <v>587</v>
      </c>
      <c r="Q19" s="600" t="s">
        <v>548</v>
      </c>
      <c r="R19" s="601" t="s">
        <v>548</v>
      </c>
      <c r="S19" s="602">
        <v>10</v>
      </c>
      <c r="T19" s="603">
        <v>1</v>
      </c>
      <c r="U19" s="952" t="s">
        <v>611</v>
      </c>
      <c r="V19" s="717" t="str">
        <f>IF(U19=listas!$C$1,listas!$B$1,IF(U19=listas!$C$2,listas!$B$2,IF(U19=listas!$C$3,listas!$B$3,IF(U19=listas!$C$4,listas!$B$4,IF(U19=listas!$C$5,listas!$B$5,IF(U19=listas!$C$6,listas!$B$6,IF(U19=listas!$C$7,listas!$B$7,IF(U19=listas!$C$8,listas!$B$8,""))))))))</f>
        <v/>
      </c>
      <c r="W19" s="653">
        <v>312000000</v>
      </c>
      <c r="X19" s="653"/>
      <c r="Y19" s="653"/>
      <c r="Z19" s="835">
        <f t="shared" si="0"/>
        <v>312000000</v>
      </c>
      <c r="AA19" s="653">
        <v>312000000</v>
      </c>
      <c r="AB19" s="653"/>
      <c r="AC19" s="653"/>
      <c r="AD19" s="653">
        <f t="shared" si="1"/>
        <v>312000000</v>
      </c>
      <c r="AE19" s="919">
        <v>43123</v>
      </c>
      <c r="AF19" s="716">
        <v>49</v>
      </c>
      <c r="AG19" s="779" t="s">
        <v>885</v>
      </c>
      <c r="AH19" s="607"/>
      <c r="AI19" s="607"/>
      <c r="AJ19" s="607"/>
      <c r="AK19" s="653"/>
    </row>
    <row r="20" spans="1:39" s="608" customFormat="1" ht="92.25" customHeight="1" x14ac:dyDescent="0.2">
      <c r="A20" s="1338"/>
      <c r="B20" s="1338"/>
      <c r="C20" s="1338"/>
      <c r="D20" s="1338"/>
      <c r="E20" s="1338"/>
      <c r="F20" s="1399"/>
      <c r="G20" s="946">
        <v>48</v>
      </c>
      <c r="H20" s="865">
        <v>56</v>
      </c>
      <c r="I20" s="735" t="s">
        <v>678</v>
      </c>
      <c r="J20" s="709">
        <v>80111621</v>
      </c>
      <c r="K20" s="595" t="s">
        <v>679</v>
      </c>
      <c r="L20" s="709">
        <v>30303</v>
      </c>
      <c r="M20" s="709" t="s">
        <v>790</v>
      </c>
      <c r="N20" s="709" t="s">
        <v>774</v>
      </c>
      <c r="O20" s="709" t="s">
        <v>795</v>
      </c>
      <c r="P20" s="742" t="s">
        <v>589</v>
      </c>
      <c r="Q20" s="914" t="s">
        <v>548</v>
      </c>
      <c r="R20" s="635" t="s">
        <v>548</v>
      </c>
      <c r="S20" s="915">
        <v>11</v>
      </c>
      <c r="T20" s="597">
        <v>1</v>
      </c>
      <c r="U20" s="952" t="s">
        <v>611</v>
      </c>
      <c r="V20" s="717" t="str">
        <f>IF(U20=listas!$C$1,listas!$B$1,IF(U20=listas!$C$2,listas!$B$2,IF(U20=listas!$C$3,listas!$B$3,IF(U20=listas!$C$4,listas!$B$4,IF(U20=listas!$C$5,listas!$B$5,IF(U20=listas!$C$6,listas!$B$6,IF(U20=listas!$C$7,listas!$B$7,IF(U20=listas!$C$8,listas!$B$8,""))))))))</f>
        <v/>
      </c>
      <c r="W20" s="754">
        <v>36816528</v>
      </c>
      <c r="X20" s="754"/>
      <c r="Y20" s="754"/>
      <c r="Z20" s="835">
        <f t="shared" si="0"/>
        <v>36816528</v>
      </c>
      <c r="AA20" s="653">
        <v>36816528</v>
      </c>
      <c r="AB20" s="653"/>
      <c r="AC20" s="653"/>
      <c r="AD20" s="653">
        <f t="shared" si="1"/>
        <v>36816528</v>
      </c>
      <c r="AE20" s="919">
        <v>43119</v>
      </c>
      <c r="AF20" s="716">
        <v>31</v>
      </c>
      <c r="AG20" s="779" t="s">
        <v>885</v>
      </c>
      <c r="AH20" s="607"/>
      <c r="AI20" s="607"/>
      <c r="AJ20" s="607"/>
      <c r="AK20" s="653"/>
    </row>
    <row r="21" spans="1:39" s="608" customFormat="1" ht="36" customHeight="1" thickBot="1" x14ac:dyDescent="0.25">
      <c r="A21" s="1338"/>
      <c r="B21" s="1338"/>
      <c r="C21" s="1338"/>
      <c r="D21" s="1338"/>
      <c r="E21" s="1338"/>
      <c r="F21" s="1399"/>
      <c r="G21" s="709">
        <v>49</v>
      </c>
      <c r="H21" s="709">
        <v>57</v>
      </c>
      <c r="I21" s="735" t="s">
        <v>680</v>
      </c>
      <c r="J21" s="709">
        <v>80111621</v>
      </c>
      <c r="K21" s="595" t="s">
        <v>999</v>
      </c>
      <c r="L21" s="709">
        <v>30303</v>
      </c>
      <c r="M21" s="709" t="s">
        <v>790</v>
      </c>
      <c r="N21" s="709" t="s">
        <v>791</v>
      </c>
      <c r="O21" s="709" t="s">
        <v>794</v>
      </c>
      <c r="P21" s="816" t="s">
        <v>1003</v>
      </c>
      <c r="Q21" s="914" t="s">
        <v>101</v>
      </c>
      <c r="R21" s="635" t="s">
        <v>101</v>
      </c>
      <c r="S21" s="915">
        <v>135</v>
      </c>
      <c r="T21" s="597">
        <v>0</v>
      </c>
      <c r="U21" s="952" t="s">
        <v>611</v>
      </c>
      <c r="V21" s="717" t="str">
        <f>IF(U21=listas!$C$1,listas!$B$1,IF(U21=listas!$C$2,listas!$B$2,IF(U21=listas!$C$3,listas!$B$3,IF(U21=listas!$C$4,listas!$B$4,IF(U21=listas!$C$5,listas!$B$5,IF(U21=listas!$C$6,listas!$B$6,IF(U21=listas!$C$7,listas!$B$7,IF(U21=listas!$C$8,listas!$B$8,""))))))))</f>
        <v/>
      </c>
      <c r="W21" s="754">
        <v>40000000</v>
      </c>
      <c r="X21" s="754"/>
      <c r="Y21" s="754"/>
      <c r="Z21" s="835">
        <f t="shared" si="0"/>
        <v>40000000</v>
      </c>
      <c r="AA21" s="653">
        <v>40000000</v>
      </c>
      <c r="AB21" s="653"/>
      <c r="AC21" s="653"/>
      <c r="AD21" s="653">
        <f t="shared" si="1"/>
        <v>40000000</v>
      </c>
      <c r="AE21" s="919">
        <v>43322</v>
      </c>
      <c r="AF21" s="716">
        <v>87</v>
      </c>
      <c r="AG21" s="779" t="s">
        <v>1060</v>
      </c>
      <c r="AH21" s="607"/>
      <c r="AI21" s="607"/>
      <c r="AJ21" s="607"/>
      <c r="AK21" s="653"/>
    </row>
    <row r="22" spans="1:39" ht="27" customHeight="1" thickBot="1" x14ac:dyDescent="0.25">
      <c r="A22" s="1338"/>
      <c r="B22" s="1338"/>
      <c r="C22" s="1338"/>
      <c r="D22" s="1338"/>
      <c r="E22" s="1338"/>
      <c r="F22" s="1332" t="s">
        <v>529</v>
      </c>
      <c r="G22" s="1332"/>
      <c r="H22" s="1332"/>
      <c r="I22" s="1332"/>
      <c r="J22" s="1332"/>
      <c r="K22" s="1332"/>
      <c r="L22" s="1332"/>
      <c r="M22" s="1332"/>
      <c r="N22" s="1332"/>
      <c r="O22" s="1332"/>
      <c r="P22" s="1332"/>
      <c r="Q22" s="1332"/>
      <c r="R22" s="1332"/>
      <c r="S22" s="1332"/>
      <c r="T22" s="1332"/>
      <c r="U22" s="1332"/>
      <c r="V22" s="947"/>
      <c r="W22" s="675">
        <f>SUM(W15:W21)</f>
        <v>646532000</v>
      </c>
      <c r="X22" s="675"/>
      <c r="Y22" s="675"/>
      <c r="Z22" s="675">
        <f>+W22+X22+Y22</f>
        <v>646532000</v>
      </c>
      <c r="AA22" s="654"/>
      <c r="AB22" s="675">
        <f>SUM(AB15:AB21)</f>
        <v>0</v>
      </c>
      <c r="AC22" s="675"/>
      <c r="AD22" s="675">
        <f>+AA22+AB22+AC22</f>
        <v>0</v>
      </c>
      <c r="AE22" s="762"/>
      <c r="AF22" s="761"/>
      <c r="AG22" s="780"/>
      <c r="AH22" s="654">
        <v>646532000</v>
      </c>
      <c r="AI22" s="675">
        <f t="shared" ref="AI22" si="2">SUM(AI15:AI21)</f>
        <v>0</v>
      </c>
      <c r="AJ22" s="675"/>
      <c r="AK22" s="675">
        <f>+AH22+AI22+AJ22</f>
        <v>646532000</v>
      </c>
      <c r="AL22" s="1135"/>
      <c r="AM22" s="749"/>
    </row>
    <row r="23" spans="1:39" ht="24" customHeight="1" thickBot="1" x14ac:dyDescent="0.25">
      <c r="A23" s="1338"/>
      <c r="B23" s="1338"/>
      <c r="C23" s="1338"/>
      <c r="D23" s="1338"/>
      <c r="E23" s="1338"/>
      <c r="F23" s="1387" t="s">
        <v>530</v>
      </c>
      <c r="G23" s="1387"/>
      <c r="H23" s="1387"/>
      <c r="I23" s="1387"/>
      <c r="J23" s="1387"/>
      <c r="K23" s="1387"/>
      <c r="L23" s="1387"/>
      <c r="M23" s="1387"/>
      <c r="N23" s="1387"/>
      <c r="O23" s="1387"/>
      <c r="P23" s="1387"/>
      <c r="Q23" s="1387"/>
      <c r="R23" s="1387"/>
      <c r="S23" s="1387"/>
      <c r="T23" s="1387"/>
      <c r="U23" s="1387"/>
      <c r="V23" s="948"/>
      <c r="W23" s="676">
        <f>+W22</f>
        <v>646532000</v>
      </c>
      <c r="X23" s="676">
        <f t="shared" ref="X23:Z23" si="3">+X22</f>
        <v>0</v>
      </c>
      <c r="Y23" s="676">
        <f t="shared" si="3"/>
        <v>0</v>
      </c>
      <c r="Z23" s="676">
        <f t="shared" si="3"/>
        <v>646532000</v>
      </c>
      <c r="AA23" s="655">
        <f t="shared" ref="AA23" si="4">SUM(AA15:AA22)</f>
        <v>646532000</v>
      </c>
      <c r="AB23" s="655">
        <f t="shared" ref="AB23" si="5">SUM(AB15:AB22)</f>
        <v>0</v>
      </c>
      <c r="AC23" s="655">
        <f t="shared" ref="AC23" si="6">SUM(AC15:AC22)</f>
        <v>0</v>
      </c>
      <c r="AD23" s="655">
        <f t="shared" ref="AD23" si="7">SUM(AD15:AD22)</f>
        <v>646532000</v>
      </c>
      <c r="AE23" s="676"/>
      <c r="AF23" s="655"/>
      <c r="AG23" s="781"/>
      <c r="AH23" s="655">
        <f>+AH22</f>
        <v>646532000</v>
      </c>
      <c r="AI23" s="676">
        <f>+AI22</f>
        <v>0</v>
      </c>
      <c r="AJ23" s="676"/>
      <c r="AK23" s="676">
        <f>+AH23+AI23+AJ23</f>
        <v>646532000</v>
      </c>
    </row>
    <row r="24" spans="1:39" ht="66" customHeight="1" x14ac:dyDescent="0.2">
      <c r="A24" s="1336" t="str">
        <f>+A15</f>
        <v>115 Fortalecimiento Institucional desde la Gestión Pedagógica</v>
      </c>
      <c r="B24" s="1335" t="str">
        <f>+B15</f>
        <v>Código 383 
Un sistema de seguimiento a la Política Educativa Distrital en los contestos Escolares Ajustado e Implementado</v>
      </c>
      <c r="C24" s="1335" t="str">
        <f>+C15</f>
        <v>Componente No.1 "Sistema de Seguimiento a la política educativa distrital en los contextos escolares."</v>
      </c>
      <c r="D24" s="1335" t="s">
        <v>505</v>
      </c>
      <c r="E24" s="1335" t="s">
        <v>868</v>
      </c>
      <c r="F24" s="1389" t="s">
        <v>564</v>
      </c>
      <c r="G24" s="944">
        <v>50</v>
      </c>
      <c r="H24" s="960">
        <v>70</v>
      </c>
      <c r="I24" s="961" t="s">
        <v>746</v>
      </c>
      <c r="J24" s="945">
        <v>80111621</v>
      </c>
      <c r="K24" s="962" t="s">
        <v>681</v>
      </c>
      <c r="L24" s="945">
        <v>3020417001</v>
      </c>
      <c r="M24" s="945" t="s">
        <v>796</v>
      </c>
      <c r="N24" s="945" t="s">
        <v>797</v>
      </c>
      <c r="O24" s="945" t="s">
        <v>798</v>
      </c>
      <c r="P24" s="963" t="s">
        <v>588</v>
      </c>
      <c r="Q24" s="964" t="s">
        <v>548</v>
      </c>
      <c r="R24" s="965" t="s">
        <v>548</v>
      </c>
      <c r="S24" s="966">
        <v>5</v>
      </c>
      <c r="T24" s="966">
        <v>1</v>
      </c>
      <c r="U24" s="951" t="s">
        <v>611</v>
      </c>
      <c r="V24" s="967" t="str">
        <f>IF(U24=listas!$C$1,listas!$B$1,IF(U24=listas!$C$2,listas!$B$2,IF(U24=listas!$C$3,listas!$B$3,IF(U24=listas!$C$4,listas!$B$4,IF(U24=listas!$C$5,listas!$B$5,IF(U24=listas!$C$6,listas!$B$6,IF(U24=listas!$C$7,listas!$B$7,IF(U24=listas!$C$8,listas!$B$8,""))))))))</f>
        <v/>
      </c>
      <c r="W24" s="968"/>
      <c r="X24" s="968">
        <v>41791680</v>
      </c>
      <c r="Y24" s="968"/>
      <c r="Z24" s="969">
        <f t="shared" ref="Z24:Z34" si="8">+W24+X24</f>
        <v>41791680</v>
      </c>
      <c r="AA24" s="653"/>
      <c r="AB24" s="653">
        <v>41791680</v>
      </c>
      <c r="AC24" s="653"/>
      <c r="AD24" s="653">
        <f t="shared" ref="AD24" si="9">+AA24+AB24</f>
        <v>41791680</v>
      </c>
      <c r="AE24" s="919">
        <v>43123</v>
      </c>
      <c r="AF24" s="716">
        <v>38</v>
      </c>
      <c r="AG24" s="782" t="s">
        <v>929</v>
      </c>
      <c r="AH24" s="653"/>
      <c r="AI24" s="653"/>
      <c r="AJ24" s="653"/>
      <c r="AK24" s="653"/>
    </row>
    <row r="25" spans="1:39" ht="51.75" customHeight="1" x14ac:dyDescent="0.2">
      <c r="A25" s="1338"/>
      <c r="B25" s="1335"/>
      <c r="C25" s="1335"/>
      <c r="D25" s="1335"/>
      <c r="E25" s="1335"/>
      <c r="F25" s="1389"/>
      <c r="G25" s="731">
        <v>51</v>
      </c>
      <c r="H25" s="864">
        <v>71</v>
      </c>
      <c r="I25" s="735" t="s">
        <v>749</v>
      </c>
      <c r="J25" s="704">
        <v>80111601</v>
      </c>
      <c r="K25" s="598" t="s">
        <v>681</v>
      </c>
      <c r="L25" s="726">
        <v>3020417001</v>
      </c>
      <c r="M25" s="726" t="s">
        <v>796</v>
      </c>
      <c r="N25" s="726" t="s">
        <v>799</v>
      </c>
      <c r="O25" s="726" t="s">
        <v>800</v>
      </c>
      <c r="P25" s="599" t="s">
        <v>588</v>
      </c>
      <c r="Q25" s="600" t="s">
        <v>548</v>
      </c>
      <c r="R25" s="601" t="s">
        <v>548</v>
      </c>
      <c r="S25" s="603">
        <v>5</v>
      </c>
      <c r="T25" s="603">
        <v>1</v>
      </c>
      <c r="U25" s="818" t="s">
        <v>611</v>
      </c>
      <c r="V25" s="717" t="str">
        <f>IF(U25=listas!$C$1,listas!$B$1,IF(U25=listas!$C$2,listas!$B$2,IF(U25=listas!$C$3,listas!$B$3,IF(U25=listas!$C$4,listas!$B$4,IF(U25=listas!$C$5,listas!$B$5,IF(U25=listas!$C$6,listas!$B$6,IF(U25=listas!$C$7,listas!$B$7,IF(U25=listas!$C$8,listas!$B$8,""))))))))</f>
        <v/>
      </c>
      <c r="W25" s="653">
        <v>19000000</v>
      </c>
      <c r="X25" s="653">
        <v>180640</v>
      </c>
      <c r="Y25" s="653"/>
      <c r="Z25" s="835">
        <f t="shared" si="8"/>
        <v>19180640</v>
      </c>
      <c r="AA25" s="653">
        <v>19000000</v>
      </c>
      <c r="AB25" s="653">
        <v>180640</v>
      </c>
      <c r="AC25" s="653"/>
      <c r="AD25" s="653">
        <f t="shared" ref="AD25" si="10">+AA25+AB25</f>
        <v>19180640</v>
      </c>
      <c r="AE25" s="919">
        <v>43118</v>
      </c>
      <c r="AF25" s="716">
        <v>27</v>
      </c>
      <c r="AG25" s="782" t="s">
        <v>923</v>
      </c>
      <c r="AH25" s="653"/>
      <c r="AI25" s="653"/>
      <c r="AJ25" s="653"/>
      <c r="AK25" s="653"/>
    </row>
    <row r="26" spans="1:39" ht="60.75" customHeight="1" x14ac:dyDescent="0.2">
      <c r="A26" s="1338"/>
      <c r="B26" s="1335"/>
      <c r="C26" s="1335"/>
      <c r="D26" s="1335"/>
      <c r="E26" s="1335"/>
      <c r="F26" s="1389"/>
      <c r="G26" s="731">
        <v>52</v>
      </c>
      <c r="H26" s="864">
        <v>72</v>
      </c>
      <c r="I26" s="735" t="s">
        <v>747</v>
      </c>
      <c r="J26" s="704">
        <v>80111621</v>
      </c>
      <c r="K26" s="598" t="s">
        <v>681</v>
      </c>
      <c r="L26" s="726">
        <v>3020417001</v>
      </c>
      <c r="M26" s="726" t="s">
        <v>796</v>
      </c>
      <c r="N26" s="726" t="s">
        <v>797</v>
      </c>
      <c r="O26" s="726" t="s">
        <v>798</v>
      </c>
      <c r="P26" s="599" t="s">
        <v>588</v>
      </c>
      <c r="Q26" s="600" t="s">
        <v>548</v>
      </c>
      <c r="R26" s="601" t="s">
        <v>548</v>
      </c>
      <c r="S26" s="603">
        <v>4</v>
      </c>
      <c r="T26" s="603">
        <v>1</v>
      </c>
      <c r="U26" s="818" t="s">
        <v>611</v>
      </c>
      <c r="V26" s="717" t="str">
        <f>IF(U26=listas!$C$1,listas!$B$1,IF(U26=listas!$C$2,listas!$B$2,IF(U26=listas!$C$3,listas!$B$3,IF(U26=listas!$C$4,listas!$B$4,IF(U26=listas!$C$5,listas!$B$5,IF(U26=listas!$C$6,listas!$B$6,IF(U26=listas!$C$7,listas!$B$7,IF(U26=listas!$C$8,listas!$B$8,""))))))))</f>
        <v/>
      </c>
      <c r="W26" s="653"/>
      <c r="X26" s="653">
        <v>27555556</v>
      </c>
      <c r="Y26" s="653"/>
      <c r="Z26" s="835">
        <f t="shared" si="8"/>
        <v>27555556</v>
      </c>
      <c r="AA26" s="653"/>
      <c r="AB26" s="653">
        <v>27555556</v>
      </c>
      <c r="AC26" s="653"/>
      <c r="AD26" s="653">
        <v>27555556</v>
      </c>
      <c r="AE26" s="919">
        <v>43125</v>
      </c>
      <c r="AF26" s="716">
        <v>56</v>
      </c>
      <c r="AG26" s="782" t="s">
        <v>930</v>
      </c>
      <c r="AH26" s="653"/>
      <c r="AI26" s="653"/>
      <c r="AJ26" s="653"/>
      <c r="AK26" s="653"/>
    </row>
    <row r="27" spans="1:39" ht="72.75" customHeight="1" x14ac:dyDescent="0.2">
      <c r="A27" s="1338"/>
      <c r="B27" s="1335"/>
      <c r="C27" s="1335"/>
      <c r="D27" s="1335"/>
      <c r="E27" s="1335"/>
      <c r="F27" s="1389"/>
      <c r="G27" s="731">
        <v>53</v>
      </c>
      <c r="H27" s="864">
        <v>73</v>
      </c>
      <c r="I27" s="735" t="s">
        <v>748</v>
      </c>
      <c r="J27" s="704">
        <v>80111621</v>
      </c>
      <c r="K27" s="598" t="s">
        <v>681</v>
      </c>
      <c r="L27" s="726">
        <v>3020417001</v>
      </c>
      <c r="M27" s="726" t="s">
        <v>796</v>
      </c>
      <c r="N27" s="726" t="s">
        <v>797</v>
      </c>
      <c r="O27" s="726" t="s">
        <v>798</v>
      </c>
      <c r="P27" s="599" t="s">
        <v>588</v>
      </c>
      <c r="Q27" s="600" t="s">
        <v>548</v>
      </c>
      <c r="R27" s="601" t="s">
        <v>548</v>
      </c>
      <c r="S27" s="603">
        <v>4</v>
      </c>
      <c r="T27" s="603">
        <v>1</v>
      </c>
      <c r="U27" s="818" t="s">
        <v>611</v>
      </c>
      <c r="V27" s="717" t="str">
        <f>IF(U27=listas!$C$1,listas!$B$1,IF(U27=listas!$C$2,listas!$B$2,IF(U27=listas!$C$3,listas!$B$3,IF(U27=listas!$C$4,listas!$B$4,IF(U27=listas!$C$5,listas!$B$5,IF(U27=listas!$C$6,listas!$B$6,IF(U27=listas!$C$7,listas!$B$7,IF(U27=listas!$C$8,listas!$B$8,""))))))))</f>
        <v/>
      </c>
      <c r="W27" s="653"/>
      <c r="X27" s="653">
        <v>27555556</v>
      </c>
      <c r="Y27" s="653"/>
      <c r="Z27" s="835">
        <f t="shared" si="8"/>
        <v>27555556</v>
      </c>
      <c r="AA27" s="653"/>
      <c r="AB27" s="653">
        <v>27555556</v>
      </c>
      <c r="AC27" s="653"/>
      <c r="AD27" s="653">
        <v>27555556</v>
      </c>
      <c r="AE27" s="919">
        <v>43125</v>
      </c>
      <c r="AF27" s="716">
        <v>39</v>
      </c>
      <c r="AG27" s="782" t="s">
        <v>931</v>
      </c>
      <c r="AH27" s="653"/>
      <c r="AI27" s="653"/>
      <c r="AJ27" s="653"/>
      <c r="AK27" s="653"/>
    </row>
    <row r="28" spans="1:39" ht="75" customHeight="1" x14ac:dyDescent="0.2">
      <c r="A28" s="1338"/>
      <c r="B28" s="1335"/>
      <c r="C28" s="1335"/>
      <c r="D28" s="1335"/>
      <c r="E28" s="1335"/>
      <c r="F28" s="1389"/>
      <c r="G28" s="731">
        <v>141</v>
      </c>
      <c r="H28" s="864">
        <v>74</v>
      </c>
      <c r="I28" s="735" t="s">
        <v>783</v>
      </c>
      <c r="J28" s="704">
        <v>80111621</v>
      </c>
      <c r="K28" s="598" t="s">
        <v>681</v>
      </c>
      <c r="L28" s="726">
        <v>3020417001</v>
      </c>
      <c r="M28" s="726" t="s">
        <v>796</v>
      </c>
      <c r="N28" s="726" t="s">
        <v>797</v>
      </c>
      <c r="O28" s="726" t="s">
        <v>798</v>
      </c>
      <c r="P28" s="599" t="s">
        <v>588</v>
      </c>
      <c r="Q28" s="600" t="s">
        <v>548</v>
      </c>
      <c r="R28" s="601" t="s">
        <v>548</v>
      </c>
      <c r="S28" s="603">
        <v>5</v>
      </c>
      <c r="T28" s="603">
        <v>1</v>
      </c>
      <c r="U28" s="818" t="s">
        <v>611</v>
      </c>
      <c r="V28" s="717" t="str">
        <f>IF(U28=listas!$C$1,listas!$B$1,IF(U28=listas!$C$2,listas!$B$2,IF(U28=listas!$C$3,listas!$B$3,IF(U28=listas!$C$4,listas!$B$4,IF(U28=listas!$C$5,listas!$B$5,IF(U28=listas!$C$6,listas!$B$6,IF(U28=listas!$C$7,listas!$B$7,IF(U28=listas!$C$8,listas!$B$8,""))))))))</f>
        <v/>
      </c>
      <c r="W28" s="653"/>
      <c r="X28" s="653">
        <v>64819360</v>
      </c>
      <c r="Y28" s="653"/>
      <c r="Z28" s="835">
        <f t="shared" si="8"/>
        <v>64819360</v>
      </c>
      <c r="AA28" s="653"/>
      <c r="AB28" s="653">
        <v>64819360</v>
      </c>
      <c r="AC28" s="653"/>
      <c r="AD28" s="653">
        <v>64819360</v>
      </c>
      <c r="AE28" s="919">
        <v>43125</v>
      </c>
      <c r="AF28" s="716">
        <v>58</v>
      </c>
      <c r="AG28" s="782" t="s">
        <v>932</v>
      </c>
      <c r="AH28" s="653"/>
      <c r="AI28" s="653"/>
      <c r="AJ28" s="653"/>
      <c r="AK28" s="653"/>
    </row>
    <row r="29" spans="1:39" ht="77.25" customHeight="1" x14ac:dyDescent="0.2">
      <c r="A29" s="1338"/>
      <c r="B29" s="1335"/>
      <c r="C29" s="1335"/>
      <c r="D29" s="1335"/>
      <c r="E29" s="1335"/>
      <c r="F29" s="1389"/>
      <c r="G29" s="921">
        <v>55</v>
      </c>
      <c r="H29" s="921">
        <v>75</v>
      </c>
      <c r="I29" s="735" t="s">
        <v>1000</v>
      </c>
      <c r="J29" s="709">
        <v>80111621</v>
      </c>
      <c r="K29" s="595" t="s">
        <v>1001</v>
      </c>
      <c r="L29" s="709">
        <v>30303</v>
      </c>
      <c r="M29" s="709" t="s">
        <v>790</v>
      </c>
      <c r="N29" s="709" t="s">
        <v>791</v>
      </c>
      <c r="O29" s="709" t="s">
        <v>794</v>
      </c>
      <c r="P29" s="816" t="s">
        <v>1003</v>
      </c>
      <c r="Q29" s="914" t="s">
        <v>101</v>
      </c>
      <c r="R29" s="635" t="s">
        <v>101</v>
      </c>
      <c r="S29" s="597">
        <v>4</v>
      </c>
      <c r="T29" s="597">
        <v>1</v>
      </c>
      <c r="U29" s="923" t="s">
        <v>611</v>
      </c>
      <c r="V29" s="717" t="str">
        <f>IF(U29=listas!$C$1,listas!$B$1,IF(U29=listas!$C$2,listas!$B$2,IF(U29=listas!$C$3,listas!$B$3,IF(U29=listas!$C$4,listas!$B$4,IF(U29=listas!$C$5,listas!$B$5,IF(U29=listas!$C$6,listas!$B$6,IF(U29=listas!$C$7,listas!$B$7,IF(U29=listas!$C$8,listas!$B$8,""))))))))</f>
        <v/>
      </c>
      <c r="W29" s="754">
        <f>41791680-8358336</f>
        <v>33433344</v>
      </c>
      <c r="X29" s="754"/>
      <c r="Y29" s="754"/>
      <c r="Z29" s="835">
        <f>+W29+X29+Y29</f>
        <v>33433344</v>
      </c>
      <c r="AA29" s="653">
        <v>33433344</v>
      </c>
      <c r="AB29" s="754"/>
      <c r="AC29" s="755"/>
      <c r="AD29" s="754">
        <f>+AA29+AB29+AC29</f>
        <v>33433344</v>
      </c>
      <c r="AE29" s="919">
        <v>43325</v>
      </c>
      <c r="AF29" s="716">
        <v>91</v>
      </c>
      <c r="AG29" s="782" t="s">
        <v>1068</v>
      </c>
      <c r="AH29" s="653"/>
      <c r="AI29" s="653"/>
      <c r="AJ29" s="653"/>
      <c r="AK29" s="653"/>
    </row>
    <row r="30" spans="1:39" ht="56.25" customHeight="1" x14ac:dyDescent="0.2">
      <c r="A30" s="1338"/>
      <c r="B30" s="1335"/>
      <c r="C30" s="1335"/>
      <c r="D30" s="1335"/>
      <c r="E30" s="1335"/>
      <c r="F30" s="1389"/>
      <c r="G30" s="921">
        <v>56</v>
      </c>
      <c r="H30" s="921">
        <v>78</v>
      </c>
      <c r="I30" s="735" t="s">
        <v>1002</v>
      </c>
      <c r="J30" s="709">
        <v>80111621</v>
      </c>
      <c r="K30" s="595" t="s">
        <v>1001</v>
      </c>
      <c r="L30" s="709">
        <v>30303</v>
      </c>
      <c r="M30" s="709" t="s">
        <v>790</v>
      </c>
      <c r="N30" s="709" t="s">
        <v>791</v>
      </c>
      <c r="O30" s="709" t="s">
        <v>794</v>
      </c>
      <c r="P30" s="816" t="s">
        <v>1003</v>
      </c>
      <c r="Q30" s="914" t="s">
        <v>101</v>
      </c>
      <c r="R30" s="635" t="s">
        <v>101</v>
      </c>
      <c r="S30" s="597">
        <v>4</v>
      </c>
      <c r="T30" s="597">
        <v>1</v>
      </c>
      <c r="U30" s="923" t="s">
        <v>611</v>
      </c>
      <c r="V30" s="717" t="str">
        <f>IF(U30=listas!$C$1,listas!$B$1,IF(U30=listas!$C$2,listas!$B$2,IF(U30=listas!$C$3,listas!$B$3,IF(U30=listas!$C$4,listas!$B$4,IF(U30=listas!$C$5,listas!$B$5,IF(U30=listas!$C$6,listas!$B$6,IF(U30=listas!$C$7,listas!$B$7,IF(U30=listas!$C$8,listas!$B$8,""))))))))</f>
        <v/>
      </c>
      <c r="W30" s="754">
        <v>27555556</v>
      </c>
      <c r="X30" s="754"/>
      <c r="Y30" s="754"/>
      <c r="Z30" s="835">
        <f>+W30+X30+Y30</f>
        <v>27555556</v>
      </c>
      <c r="AA30" s="653">
        <v>27555556</v>
      </c>
      <c r="AB30" s="653"/>
      <c r="AC30" s="653"/>
      <c r="AD30" s="754">
        <f t="shared" ref="AD30:AD33" si="11">+AA30+AB30+AC30</f>
        <v>27555556</v>
      </c>
      <c r="AE30" s="919">
        <v>43322</v>
      </c>
      <c r="AF30" s="716">
        <v>89</v>
      </c>
      <c r="AG30" s="782" t="s">
        <v>931</v>
      </c>
      <c r="AH30" s="653"/>
      <c r="AI30" s="653"/>
      <c r="AJ30" s="653"/>
      <c r="AK30" s="653"/>
    </row>
    <row r="31" spans="1:39" ht="57" customHeight="1" x14ac:dyDescent="0.2">
      <c r="A31" s="1338"/>
      <c r="B31" s="1335"/>
      <c r="C31" s="1335"/>
      <c r="D31" s="1335"/>
      <c r="E31" s="1335"/>
      <c r="F31" s="1389"/>
      <c r="G31" s="921">
        <v>57</v>
      </c>
      <c r="H31" s="921">
        <v>84</v>
      </c>
      <c r="I31" s="735" t="s">
        <v>1004</v>
      </c>
      <c r="J31" s="709">
        <v>80111621</v>
      </c>
      <c r="K31" s="595" t="s">
        <v>681</v>
      </c>
      <c r="L31" s="709">
        <v>30303</v>
      </c>
      <c r="M31" s="709" t="s">
        <v>790</v>
      </c>
      <c r="N31" s="709" t="s">
        <v>791</v>
      </c>
      <c r="O31" s="709" t="s">
        <v>794</v>
      </c>
      <c r="P31" s="742" t="s">
        <v>588</v>
      </c>
      <c r="Q31" s="914" t="s">
        <v>101</v>
      </c>
      <c r="R31" s="635" t="s">
        <v>101</v>
      </c>
      <c r="S31" s="597">
        <v>4</v>
      </c>
      <c r="T31" s="597">
        <v>1</v>
      </c>
      <c r="U31" s="952" t="s">
        <v>611</v>
      </c>
      <c r="V31" s="717" t="str">
        <f>IF(U31=listas!$C$1,listas!$B$1,IF(U31=listas!$C$2,listas!$B$2,IF(U31=listas!$C$3,listas!$B$3,IF(U31=listas!$C$4,listas!$B$4,IF(U31=listas!$C$5,listas!$B$5,IF(U31=listas!$C$6,listas!$B$6,IF(U31=listas!$C$7,listas!$B$7,IF(U31=listas!$C$8,listas!$B$8,""))))))))</f>
        <v/>
      </c>
      <c r="W31" s="754">
        <v>27555556</v>
      </c>
      <c r="X31" s="754"/>
      <c r="Y31" s="754"/>
      <c r="Z31" s="835">
        <f t="shared" si="8"/>
        <v>27555556</v>
      </c>
      <c r="AA31" s="653">
        <v>27555556</v>
      </c>
      <c r="AB31" s="653"/>
      <c r="AC31" s="653"/>
      <c r="AD31" s="754">
        <f t="shared" si="11"/>
        <v>27555556</v>
      </c>
      <c r="AE31" s="919">
        <v>43325</v>
      </c>
      <c r="AF31" s="716">
        <v>92</v>
      </c>
      <c r="AG31" s="782" t="s">
        <v>930</v>
      </c>
      <c r="AH31" s="653"/>
      <c r="AI31" s="653"/>
      <c r="AJ31" s="653"/>
      <c r="AK31" s="653"/>
    </row>
    <row r="32" spans="1:39" ht="44.25" customHeight="1" x14ac:dyDescent="0.2">
      <c r="A32" s="1338"/>
      <c r="B32" s="1335"/>
      <c r="C32" s="1335"/>
      <c r="D32" s="1335"/>
      <c r="E32" s="1335"/>
      <c r="F32" s="1389"/>
      <c r="G32" s="921">
        <v>58</v>
      </c>
      <c r="H32" s="921">
        <v>85</v>
      </c>
      <c r="I32" s="735" t="s">
        <v>1005</v>
      </c>
      <c r="J32" s="709">
        <v>80111621</v>
      </c>
      <c r="K32" s="595" t="s">
        <v>1001</v>
      </c>
      <c r="L32" s="709">
        <v>30303</v>
      </c>
      <c r="M32" s="709" t="s">
        <v>790</v>
      </c>
      <c r="N32" s="709">
        <v>2.4</v>
      </c>
      <c r="O32" s="709" t="s">
        <v>794</v>
      </c>
      <c r="P32" s="742" t="s">
        <v>588</v>
      </c>
      <c r="Q32" s="914" t="s">
        <v>101</v>
      </c>
      <c r="R32" s="635" t="s">
        <v>101</v>
      </c>
      <c r="S32" s="597">
        <v>4</v>
      </c>
      <c r="T32" s="597">
        <v>1</v>
      </c>
      <c r="U32" s="923" t="s">
        <v>611</v>
      </c>
      <c r="V32" s="717" t="str">
        <f>IF(U32=listas!$C$1,listas!$B$1,IF(U32=listas!$C$2,listas!$B$2,IF(U32=listas!$C$3,listas!$B$3,IF(U32=listas!$C$4,listas!$B$4,IF(U32=listas!$C$5,listas!$B$5,IF(U32=listas!$C$6,listas!$B$6,IF(U32=listas!$C$7,listas!$B$7,IF(U32=listas!$C$8,listas!$B$8,""))))))))</f>
        <v/>
      </c>
      <c r="W32" s="754">
        <f>38118065-16243289</f>
        <v>21874776</v>
      </c>
      <c r="X32" s="754"/>
      <c r="Y32" s="754"/>
      <c r="Z32" s="835">
        <f t="shared" si="8"/>
        <v>21874776</v>
      </c>
      <c r="AA32" s="653">
        <v>21874776</v>
      </c>
      <c r="AB32" s="653"/>
      <c r="AC32" s="653"/>
      <c r="AD32" s="754">
        <f t="shared" si="11"/>
        <v>21874776</v>
      </c>
      <c r="AE32" s="919">
        <v>43322</v>
      </c>
      <c r="AF32" s="716">
        <v>90</v>
      </c>
      <c r="AG32" s="782" t="s">
        <v>1069</v>
      </c>
      <c r="AH32" s="653"/>
      <c r="AI32" s="653"/>
      <c r="AJ32" s="653"/>
      <c r="AK32" s="653"/>
    </row>
    <row r="33" spans="1:39" ht="39" customHeight="1" x14ac:dyDescent="0.2">
      <c r="A33" s="1338"/>
      <c r="B33" s="1335"/>
      <c r="C33" s="1335"/>
      <c r="D33" s="1335"/>
      <c r="E33" s="1335"/>
      <c r="F33" s="1389"/>
      <c r="G33" s="921">
        <v>59</v>
      </c>
      <c r="H33" s="921">
        <v>86</v>
      </c>
      <c r="I33" s="735" t="s">
        <v>1006</v>
      </c>
      <c r="J33" s="709">
        <v>80111601</v>
      </c>
      <c r="K33" s="595" t="s">
        <v>1001</v>
      </c>
      <c r="L33" s="709">
        <v>30303</v>
      </c>
      <c r="M33" s="709" t="s">
        <v>790</v>
      </c>
      <c r="N33" s="709" t="s">
        <v>791</v>
      </c>
      <c r="O33" s="709" t="s">
        <v>794</v>
      </c>
      <c r="P33" s="816" t="s">
        <v>1008</v>
      </c>
      <c r="Q33" s="914" t="s">
        <v>101</v>
      </c>
      <c r="R33" s="635" t="s">
        <v>101</v>
      </c>
      <c r="S33" s="597">
        <v>4</v>
      </c>
      <c r="T33" s="597">
        <v>1</v>
      </c>
      <c r="U33" s="923" t="s">
        <v>611</v>
      </c>
      <c r="V33" s="717" t="str">
        <f>IF(U33=listas!$C$1,listas!$B$1,IF(U33=listas!$C$2,listas!$B$2,IF(U33=listas!$C$3,listas!$B$3,IF(U33=listas!$C$4,listas!$B$4,IF(U33=listas!$C$5,listas!$B$5,IF(U33=listas!$C$6,listas!$B$6,IF(U33=listas!$C$7,listas!$B$7,IF(U33=listas!$C$8,listas!$B$8,""))))))))</f>
        <v/>
      </c>
      <c r="W33" s="754">
        <f>19180640-3555800</f>
        <v>15624840</v>
      </c>
      <c r="X33" s="754"/>
      <c r="Y33" s="754"/>
      <c r="Z33" s="835">
        <f t="shared" si="8"/>
        <v>15624840</v>
      </c>
      <c r="AA33" s="653">
        <v>15624840</v>
      </c>
      <c r="AB33" s="653"/>
      <c r="AC33" s="653"/>
      <c r="AD33" s="754">
        <f t="shared" si="11"/>
        <v>15624840</v>
      </c>
      <c r="AE33" s="919">
        <v>43322</v>
      </c>
      <c r="AF33" s="716">
        <v>88</v>
      </c>
      <c r="AG33" s="782" t="s">
        <v>900</v>
      </c>
      <c r="AH33" s="653"/>
      <c r="AI33" s="653"/>
      <c r="AJ33" s="653"/>
      <c r="AK33" s="653"/>
    </row>
    <row r="34" spans="1:39" ht="77.25" customHeight="1" x14ac:dyDescent="0.2">
      <c r="A34" s="1338"/>
      <c r="B34" s="1335"/>
      <c r="C34" s="1335"/>
      <c r="D34" s="1335"/>
      <c r="E34" s="1335"/>
      <c r="F34" s="1389"/>
      <c r="G34" s="921">
        <v>60</v>
      </c>
      <c r="H34" s="921">
        <v>87</v>
      </c>
      <c r="I34" s="735" t="s">
        <v>1007</v>
      </c>
      <c r="J34" s="709">
        <v>80111621</v>
      </c>
      <c r="K34" s="595" t="s">
        <v>1001</v>
      </c>
      <c r="L34" s="709" t="s">
        <v>1087</v>
      </c>
      <c r="M34" s="937" t="s">
        <v>1050</v>
      </c>
      <c r="N34" s="709" t="s">
        <v>1051</v>
      </c>
      <c r="O34" s="709" t="s">
        <v>1052</v>
      </c>
      <c r="P34" s="816" t="s">
        <v>1003</v>
      </c>
      <c r="Q34" s="914" t="s">
        <v>101</v>
      </c>
      <c r="R34" s="635" t="s">
        <v>550</v>
      </c>
      <c r="S34" s="597">
        <v>100</v>
      </c>
      <c r="T34" s="597">
        <v>0</v>
      </c>
      <c r="U34" s="923" t="s">
        <v>611</v>
      </c>
      <c r="V34" s="717" t="str">
        <f>IF(U34=listas!$C$1,listas!$B$1,IF(U34=listas!$C$2,listas!$B$2,IF(U34=listas!$C$3,listas!$B$3,IF(U34=listas!$C$4,listas!$B$4,IF(U34=listas!$C$5,listas!$B$5,IF(U34=listas!$C$6,listas!$B$6,IF(U34=listas!$C$7,listas!$B$7,IF(U34=listas!$C$8,listas!$B$8,""))))))))</f>
        <v/>
      </c>
      <c r="W34" s="754">
        <f>26798503+28157425</f>
        <v>54955928</v>
      </c>
      <c r="X34" s="754">
        <f>138097208-14355662-55644338-13053136+145881792</f>
        <v>200925864</v>
      </c>
      <c r="Y34" s="754"/>
      <c r="Z34" s="835">
        <f t="shared" si="8"/>
        <v>255881792</v>
      </c>
      <c r="AA34" s="754">
        <v>54955928</v>
      </c>
      <c r="AB34" s="653">
        <v>200925864</v>
      </c>
      <c r="AC34" s="653"/>
      <c r="AD34" s="653">
        <f>+AA34+AB34+AC34</f>
        <v>255881792</v>
      </c>
      <c r="AE34" s="919">
        <v>43360</v>
      </c>
      <c r="AF34" s="716">
        <v>115</v>
      </c>
      <c r="AG34" s="782" t="s">
        <v>1118</v>
      </c>
      <c r="AH34" s="653"/>
      <c r="AI34" s="653"/>
      <c r="AJ34" s="653"/>
      <c r="AK34" s="653"/>
    </row>
    <row r="35" spans="1:39" ht="77.25" customHeight="1" thickBot="1" x14ac:dyDescent="0.25">
      <c r="A35" s="1338"/>
      <c r="B35" s="1335"/>
      <c r="C35" s="1335"/>
      <c r="D35" s="1335"/>
      <c r="E35" s="1335"/>
      <c r="F35" s="1400"/>
      <c r="G35" s="920">
        <v>112</v>
      </c>
      <c r="H35" s="920"/>
      <c r="I35" s="735" t="s">
        <v>1009</v>
      </c>
      <c r="J35" s="709">
        <v>80111621</v>
      </c>
      <c r="K35" s="595" t="s">
        <v>677</v>
      </c>
      <c r="L35" s="709">
        <v>302018001</v>
      </c>
      <c r="M35" s="937" t="s">
        <v>1030</v>
      </c>
      <c r="N35" s="709" t="s">
        <v>1053</v>
      </c>
      <c r="O35" s="709" t="s">
        <v>1054</v>
      </c>
      <c r="P35" s="816" t="s">
        <v>587</v>
      </c>
      <c r="Q35" s="914" t="s">
        <v>101</v>
      </c>
      <c r="R35" s="635" t="s">
        <v>101</v>
      </c>
      <c r="S35" s="597">
        <v>4</v>
      </c>
      <c r="T35" s="597">
        <v>1</v>
      </c>
      <c r="U35" s="923" t="s">
        <v>611</v>
      </c>
      <c r="V35" s="717" t="str">
        <f>IF(U35=listas!$C$1,listas!$B$1,IF(U35=listas!$C$2,listas!$B$2,IF(U35=listas!$C$3,listas!$B$3,IF(U35=listas!$C$4,listas!$B$4,IF(U35=listas!$C$5,listas!$B$5,IF(U35=listas!$C$6,listas!$B$6,IF(U35=listas!$C$7,listas!$B$7,IF(U35=listas!$C$8,listas!$B$8,""))))))))</f>
        <v/>
      </c>
      <c r="W35" s="926"/>
      <c r="X35" s="754">
        <v>13053136</v>
      </c>
      <c r="Y35" s="754"/>
      <c r="Z35" s="835">
        <f>+W35+X35+Y35</f>
        <v>13053136</v>
      </c>
      <c r="AA35" s="900"/>
      <c r="AB35" s="653">
        <v>13053136</v>
      </c>
      <c r="AC35" s="653"/>
      <c r="AD35" s="653">
        <f>+AA35+AB35+AC35</f>
        <v>13053136</v>
      </c>
      <c r="AE35" s="775">
        <v>43328</v>
      </c>
      <c r="AF35" s="770">
        <v>107</v>
      </c>
      <c r="AG35" s="782" t="s">
        <v>1066</v>
      </c>
      <c r="AH35" s="900"/>
      <c r="AI35" s="653"/>
      <c r="AJ35" s="653"/>
      <c r="AK35" s="653"/>
    </row>
    <row r="36" spans="1:39" ht="30" customHeight="1" thickBot="1" x14ac:dyDescent="0.25">
      <c r="A36" s="1338"/>
      <c r="B36" s="739"/>
      <c r="C36" s="1335"/>
      <c r="D36" s="1335"/>
      <c r="E36" s="1335"/>
      <c r="F36" s="1332" t="s">
        <v>529</v>
      </c>
      <c r="G36" s="1328"/>
      <c r="H36" s="1328"/>
      <c r="I36" s="1332"/>
      <c r="J36" s="1332"/>
      <c r="K36" s="1332"/>
      <c r="L36" s="1332"/>
      <c r="M36" s="1332"/>
      <c r="N36" s="1332"/>
      <c r="O36" s="1332"/>
      <c r="P36" s="1332"/>
      <c r="Q36" s="1332"/>
      <c r="R36" s="1332"/>
      <c r="S36" s="1332"/>
      <c r="T36" s="1332"/>
      <c r="U36" s="1332"/>
      <c r="V36" s="647"/>
      <c r="W36" s="656">
        <f>SUM(W24:W35)</f>
        <v>200000000</v>
      </c>
      <c r="X36" s="660">
        <f>SUM(X24:X35)</f>
        <v>375881792</v>
      </c>
      <c r="Y36" s="660"/>
      <c r="Z36" s="660">
        <f>Y34+W36+X36</f>
        <v>575881792</v>
      </c>
      <c r="AA36" s="656">
        <f>SUM(AA24:AA35)</f>
        <v>200000000</v>
      </c>
      <c r="AB36" s="656">
        <f t="shared" ref="AB36:AD36" si="12">SUM(AB24:AB35)</f>
        <v>375881792</v>
      </c>
      <c r="AC36" s="656">
        <f t="shared" si="12"/>
        <v>0</v>
      </c>
      <c r="AD36" s="656">
        <f t="shared" si="12"/>
        <v>575881792</v>
      </c>
      <c r="AE36" s="778"/>
      <c r="AF36" s="720"/>
      <c r="AG36" s="783"/>
      <c r="AH36" s="656">
        <v>200000000</v>
      </c>
      <c r="AI36" s="660">
        <f>161902792+213979000</f>
        <v>375881792</v>
      </c>
      <c r="AJ36" s="660"/>
      <c r="AK36" s="660">
        <f>+AH36+AI36</f>
        <v>575881792</v>
      </c>
      <c r="AL36" s="1135"/>
      <c r="AM36" s="749">
        <f>+AD36-AK36</f>
        <v>0</v>
      </c>
    </row>
    <row r="37" spans="1:39" ht="57" customHeight="1" x14ac:dyDescent="0.2">
      <c r="A37" s="1334" t="str">
        <f t="shared" ref="A37:C37" si="13">+A24</f>
        <v>115 Fortalecimiento Institucional desde la Gestión Pedagógica</v>
      </c>
      <c r="B37" s="1335" t="str">
        <f t="shared" si="13"/>
        <v>Código 383 
Un sistema de seguimiento a la Política Educativa Distrital en los contestos Escolares Ajustado e Implementado</v>
      </c>
      <c r="C37" s="1335" t="str">
        <f t="shared" si="13"/>
        <v>Componente No.1 "Sistema de Seguimiento a la política educativa distrital en los contextos escolares."</v>
      </c>
      <c r="D37" s="1335" t="str">
        <f>+D24</f>
        <v>Realizar (13) Estudios en Escuela currículo y pedagogía, Educación y políticas públicas y Cualificación docente</v>
      </c>
      <c r="E37" s="1335" t="str">
        <f>+E24</f>
        <v>Realizar  tres (3) Estudios en Escuela currículo y pedagogía, Educación y políticas públicas y Cualificación docente</v>
      </c>
      <c r="F37" s="1418" t="s">
        <v>563</v>
      </c>
      <c r="G37" s="732">
        <v>61</v>
      </c>
      <c r="H37" s="866">
        <v>89</v>
      </c>
      <c r="I37" s="735" t="s">
        <v>755</v>
      </c>
      <c r="J37" s="704">
        <v>80111621</v>
      </c>
      <c r="K37" s="598" t="s">
        <v>681</v>
      </c>
      <c r="L37" s="726">
        <v>3020417001</v>
      </c>
      <c r="M37" s="726" t="s">
        <v>796</v>
      </c>
      <c r="N37" s="726" t="s">
        <v>797</v>
      </c>
      <c r="O37" s="726" t="s">
        <v>798</v>
      </c>
      <c r="P37" s="599" t="s">
        <v>588</v>
      </c>
      <c r="Q37" s="704" t="s">
        <v>548</v>
      </c>
      <c r="R37" s="704" t="s">
        <v>548</v>
      </c>
      <c r="S37" s="602">
        <v>5</v>
      </c>
      <c r="T37" s="603">
        <v>1</v>
      </c>
      <c r="U37" s="818" t="s">
        <v>611</v>
      </c>
      <c r="V37" s="717" t="str">
        <f>IF(U37=listas!$C$1,listas!$B$1,IF(U37=listas!$C$2,listas!$B$2,IF(U37=listas!$C$3,listas!$B$3,IF(U37=listas!$C$4,listas!$B$4,IF(U37=listas!$C$5,listas!$B$5,IF(U37=listas!$C$6,listas!$B$6,IF(U37=listas!$C$7,listas!$B$7,IF(U37=listas!$C$8,listas!$B$8,""))))))))</f>
        <v/>
      </c>
      <c r="W37" s="657"/>
      <c r="X37" s="653">
        <v>41791680</v>
      </c>
      <c r="Y37" s="657"/>
      <c r="Z37" s="835">
        <f t="shared" ref="Z37:Z42" si="14">+W37+X37</f>
        <v>41791680</v>
      </c>
      <c r="AA37" s="657"/>
      <c r="AB37" s="653">
        <v>41791680</v>
      </c>
      <c r="AC37" s="657"/>
      <c r="AD37" s="653">
        <f t="shared" ref="AD37:AD41" si="15">+AA37+AB37</f>
        <v>41791680</v>
      </c>
      <c r="AE37" s="776">
        <v>43123</v>
      </c>
      <c r="AF37" s="716">
        <v>36</v>
      </c>
      <c r="AG37" s="782" t="s">
        <v>935</v>
      </c>
      <c r="AH37" s="657"/>
      <c r="AI37" s="653"/>
      <c r="AJ37" s="653"/>
      <c r="AK37" s="653"/>
    </row>
    <row r="38" spans="1:39" ht="58.5" customHeight="1" x14ac:dyDescent="0.2">
      <c r="A38" s="1335"/>
      <c r="B38" s="1335"/>
      <c r="C38" s="1335"/>
      <c r="D38" s="1335"/>
      <c r="E38" s="1335"/>
      <c r="F38" s="1419"/>
      <c r="G38" s="733">
        <v>62</v>
      </c>
      <c r="H38" s="867">
        <v>90</v>
      </c>
      <c r="I38" s="884" t="s">
        <v>756</v>
      </c>
      <c r="J38" s="596">
        <v>80111601</v>
      </c>
      <c r="K38" s="598" t="s">
        <v>681</v>
      </c>
      <c r="L38" s="726">
        <v>3020417001</v>
      </c>
      <c r="M38" s="726" t="s">
        <v>796</v>
      </c>
      <c r="N38" s="726" t="s">
        <v>797</v>
      </c>
      <c r="O38" s="726" t="s">
        <v>798</v>
      </c>
      <c r="P38" s="609" t="s">
        <v>588</v>
      </c>
      <c r="Q38" s="596" t="s">
        <v>548</v>
      </c>
      <c r="R38" s="596" t="s">
        <v>548</v>
      </c>
      <c r="S38" s="604">
        <v>5</v>
      </c>
      <c r="T38" s="610">
        <v>1</v>
      </c>
      <c r="U38" s="818" t="s">
        <v>611</v>
      </c>
      <c r="V38" s="717" t="str">
        <f>IF(U38=listas!$C$1,listas!$B$1,IF(U38=listas!$C$2,listas!$B$2,IF(U38=listas!$C$3,listas!$B$3,IF(U38=listas!$C$4,listas!$B$4,IF(U38=listas!$C$5,listas!$B$5,IF(U38=listas!$C$6,listas!$B$6,IF(U38=listas!$C$7,listas!$B$7,IF(U38=listas!$C$8,listas!$B$8,""))))))))</f>
        <v/>
      </c>
      <c r="W38" s="657"/>
      <c r="X38" s="653">
        <v>19180640</v>
      </c>
      <c r="Y38" s="684"/>
      <c r="Z38" s="835">
        <f t="shared" si="14"/>
        <v>19180640</v>
      </c>
      <c r="AA38" s="657"/>
      <c r="AB38" s="653">
        <v>19180640</v>
      </c>
      <c r="AC38" s="684"/>
      <c r="AD38" s="653">
        <f t="shared" si="15"/>
        <v>19180640</v>
      </c>
      <c r="AE38" s="776">
        <v>43119</v>
      </c>
      <c r="AF38" s="716">
        <v>28</v>
      </c>
      <c r="AG38" s="782" t="s">
        <v>936</v>
      </c>
      <c r="AH38" s="657"/>
      <c r="AI38" s="653"/>
      <c r="AJ38" s="653"/>
      <c r="AK38" s="653"/>
    </row>
    <row r="39" spans="1:39" ht="60.75" customHeight="1" x14ac:dyDescent="0.2">
      <c r="A39" s="1335"/>
      <c r="B39" s="1335"/>
      <c r="C39" s="1335"/>
      <c r="D39" s="1335"/>
      <c r="E39" s="1335"/>
      <c r="F39" s="1419"/>
      <c r="G39" s="732">
        <v>63</v>
      </c>
      <c r="H39" s="866">
        <v>91</v>
      </c>
      <c r="I39" s="884" t="s">
        <v>769</v>
      </c>
      <c r="J39" s="596">
        <v>80111621</v>
      </c>
      <c r="K39" s="598" t="s">
        <v>681</v>
      </c>
      <c r="L39" s="726">
        <v>3020417001</v>
      </c>
      <c r="M39" s="726" t="s">
        <v>796</v>
      </c>
      <c r="N39" s="726" t="s">
        <v>797</v>
      </c>
      <c r="O39" s="726" t="s">
        <v>798</v>
      </c>
      <c r="P39" s="609" t="s">
        <v>588</v>
      </c>
      <c r="Q39" s="596" t="s">
        <v>548</v>
      </c>
      <c r="R39" s="596" t="s">
        <v>548</v>
      </c>
      <c r="S39" s="604">
        <v>5</v>
      </c>
      <c r="T39" s="610">
        <v>1</v>
      </c>
      <c r="U39" s="818" t="s">
        <v>611</v>
      </c>
      <c r="V39" s="717" t="str">
        <f>IF(U39=listas!$C$1,listas!$B$1,IF(U39=listas!$C$2,listas!$B$2,IF(U39=listas!$C$3,listas!$B$3,IF(U39=listas!$C$4,listas!$B$4,IF(U39=listas!$C$5,listas!$B$5,IF(U39=listas!$C$6,listas!$B$6,IF(U39=listas!$C$7,listas!$B$7,IF(U39=listas!$C$8,listas!$B$8,""))))))))</f>
        <v/>
      </c>
      <c r="W39" s="657"/>
      <c r="X39" s="653">
        <v>34444445</v>
      </c>
      <c r="Y39" s="684"/>
      <c r="Z39" s="835">
        <f t="shared" si="14"/>
        <v>34444445</v>
      </c>
      <c r="AA39" s="657"/>
      <c r="AB39" s="653">
        <v>34444445</v>
      </c>
      <c r="AC39" s="684"/>
      <c r="AD39" s="653">
        <f t="shared" si="15"/>
        <v>34444445</v>
      </c>
      <c r="AE39" s="776">
        <v>43123</v>
      </c>
      <c r="AF39" s="716">
        <v>37</v>
      </c>
      <c r="AG39" s="782" t="s">
        <v>937</v>
      </c>
      <c r="AH39" s="657"/>
      <c r="AI39" s="653"/>
      <c r="AJ39" s="653"/>
      <c r="AK39" s="653"/>
    </row>
    <row r="40" spans="1:39" ht="67.5" customHeight="1" x14ac:dyDescent="0.2">
      <c r="A40" s="1335"/>
      <c r="B40" s="1335"/>
      <c r="C40" s="1335"/>
      <c r="D40" s="1335"/>
      <c r="E40" s="1335"/>
      <c r="F40" s="1419"/>
      <c r="G40" s="732">
        <v>138</v>
      </c>
      <c r="H40" s="866">
        <v>96</v>
      </c>
      <c r="I40" s="884" t="s">
        <v>865</v>
      </c>
      <c r="J40" s="596">
        <v>80111621</v>
      </c>
      <c r="K40" s="598" t="s">
        <v>681</v>
      </c>
      <c r="L40" s="726">
        <v>3020417001</v>
      </c>
      <c r="M40" s="726" t="s">
        <v>796</v>
      </c>
      <c r="N40" s="726" t="s">
        <v>797</v>
      </c>
      <c r="O40" s="726" t="s">
        <v>798</v>
      </c>
      <c r="P40" s="609" t="s">
        <v>588</v>
      </c>
      <c r="Q40" s="596" t="s">
        <v>548</v>
      </c>
      <c r="R40" s="596" t="s">
        <v>548</v>
      </c>
      <c r="S40" s="604">
        <v>5</v>
      </c>
      <c r="T40" s="610">
        <v>1</v>
      </c>
      <c r="U40" s="818" t="s">
        <v>611</v>
      </c>
      <c r="V40" s="717" t="str">
        <f>IF(U40=listas!$C$1,listas!$B$1,IF(U40=listas!$C$2,listas!$B$2,IF(U40=listas!$C$3,listas!$B$3,IF(U40=listas!$C$4,listas!$B$4,IF(U40=listas!$C$5,listas!$B$5,IF(U40=listas!$C$6,listas!$B$6,IF(U40=listas!$C$7,listas!$B$7,IF(U40=listas!$C$8,listas!$B$8,""))))))))</f>
        <v/>
      </c>
      <c r="W40" s="657"/>
      <c r="X40" s="754">
        <v>34444445</v>
      </c>
      <c r="Y40" s="684"/>
      <c r="Z40" s="835">
        <f t="shared" si="14"/>
        <v>34444445</v>
      </c>
      <c r="AA40" s="657"/>
      <c r="AB40" s="754">
        <v>34444445</v>
      </c>
      <c r="AC40" s="684"/>
      <c r="AD40" s="653">
        <f t="shared" si="15"/>
        <v>34444445</v>
      </c>
      <c r="AE40" s="776">
        <v>43123</v>
      </c>
      <c r="AF40" s="716">
        <v>40</v>
      </c>
      <c r="AG40" s="784" t="s">
        <v>938</v>
      </c>
      <c r="AH40" s="657"/>
      <c r="AI40" s="653"/>
      <c r="AJ40" s="653"/>
      <c r="AK40" s="653"/>
    </row>
    <row r="41" spans="1:39" ht="78.75" customHeight="1" x14ac:dyDescent="0.2">
      <c r="A41" s="1335"/>
      <c r="B41" s="1335"/>
      <c r="C41" s="1335"/>
      <c r="D41" s="1335"/>
      <c r="E41" s="1335"/>
      <c r="F41" s="1419"/>
      <c r="G41" s="732">
        <v>65</v>
      </c>
      <c r="H41" s="866">
        <v>97</v>
      </c>
      <c r="I41" s="884" t="s">
        <v>866</v>
      </c>
      <c r="J41" s="596">
        <v>80111621</v>
      </c>
      <c r="K41" s="598" t="s">
        <v>681</v>
      </c>
      <c r="L41" s="726">
        <v>3020417001</v>
      </c>
      <c r="M41" s="726" t="s">
        <v>796</v>
      </c>
      <c r="N41" s="726" t="s">
        <v>797</v>
      </c>
      <c r="O41" s="726" t="s">
        <v>798</v>
      </c>
      <c r="P41" s="609" t="s">
        <v>588</v>
      </c>
      <c r="Q41" s="596" t="s">
        <v>548</v>
      </c>
      <c r="R41" s="596" t="s">
        <v>548</v>
      </c>
      <c r="S41" s="604">
        <v>4</v>
      </c>
      <c r="T41" s="610">
        <v>1</v>
      </c>
      <c r="U41" s="818" t="s">
        <v>611</v>
      </c>
      <c r="V41" s="717" t="str">
        <f>IF(U41=listas!$C$1,listas!$B$1,IF(U41=listas!$C$2,listas!$B$2,IF(U41=listas!$C$3,listas!$B$3,IF(U41=listas!$C$4,listas!$B$4,IF(U41=listas!$C$5,listas!$B$5,IF(U41=listas!$C$6,listas!$B$6,IF(U41=listas!$C$7,listas!$B$7,IF(U41=listas!$C$8,listas!$B$8,""))))))))</f>
        <v/>
      </c>
      <c r="W41" s="657"/>
      <c r="X41" s="754">
        <v>27555556</v>
      </c>
      <c r="Y41" s="684"/>
      <c r="Z41" s="835">
        <f t="shared" si="14"/>
        <v>27555556</v>
      </c>
      <c r="AA41" s="657"/>
      <c r="AB41" s="754">
        <v>27555556</v>
      </c>
      <c r="AC41" s="684"/>
      <c r="AD41" s="653">
        <f t="shared" si="15"/>
        <v>27555556</v>
      </c>
      <c r="AE41" s="776">
        <v>43123</v>
      </c>
      <c r="AF41" s="716">
        <v>52</v>
      </c>
      <c r="AG41" s="784" t="s">
        <v>939</v>
      </c>
      <c r="AH41" s="657"/>
      <c r="AI41" s="653"/>
      <c r="AJ41" s="653"/>
      <c r="AK41" s="653"/>
    </row>
    <row r="42" spans="1:39" ht="102" customHeight="1" x14ac:dyDescent="0.2">
      <c r="A42" s="1335"/>
      <c r="B42" s="1335"/>
      <c r="C42" s="1335"/>
      <c r="D42" s="1335"/>
      <c r="E42" s="1335"/>
      <c r="F42" s="1419"/>
      <c r="G42" s="732">
        <v>141</v>
      </c>
      <c r="H42" s="866">
        <v>98</v>
      </c>
      <c r="I42" s="884" t="s">
        <v>783</v>
      </c>
      <c r="J42" s="748">
        <v>80111621</v>
      </c>
      <c r="K42" s="595" t="s">
        <v>681</v>
      </c>
      <c r="L42" s="709">
        <v>3020417001</v>
      </c>
      <c r="M42" s="709" t="s">
        <v>796</v>
      </c>
      <c r="N42" s="709" t="s">
        <v>797</v>
      </c>
      <c r="O42" s="709" t="s">
        <v>798</v>
      </c>
      <c r="P42" s="750" t="s">
        <v>588</v>
      </c>
      <c r="Q42" s="748" t="s">
        <v>548</v>
      </c>
      <c r="R42" s="748" t="s">
        <v>548</v>
      </c>
      <c r="S42" s="751">
        <v>5</v>
      </c>
      <c r="T42" s="752">
        <v>1</v>
      </c>
      <c r="U42" s="818" t="s">
        <v>611</v>
      </c>
      <c r="V42" s="717" t="str">
        <f>IF(U42=listas!$C$1,listas!$B$1,IF(U42=listas!$C$2,listas!$B$2,IF(U42=listas!$C$3,listas!$B$3,IF(U42=listas!$C$4,listas!$B$4,IF(U42=listas!$C$5,listas!$B$5,IF(U42=listas!$C$6,listas!$B$6,IF(U42=listas!$C$7,listas!$B$7,IF(U42=listas!$C$8,listas!$B$8,""))))))))</f>
        <v/>
      </c>
      <c r="W42" s="753"/>
      <c r="X42" s="754">
        <f>156938896+55644338</f>
        <v>212583234</v>
      </c>
      <c r="Y42" s="755"/>
      <c r="Z42" s="835">
        <f t="shared" si="14"/>
        <v>212583234</v>
      </c>
      <c r="AA42" s="753"/>
      <c r="AB42" s="754">
        <f>156938896+55644338</f>
        <v>212583234</v>
      </c>
      <c r="AC42" s="755"/>
      <c r="AD42" s="754">
        <f t="shared" ref="AD42:AD55" si="16">+AA42+AB42</f>
        <v>212583234</v>
      </c>
      <c r="AE42" s="776">
        <v>43125</v>
      </c>
      <c r="AF42" s="716">
        <v>58</v>
      </c>
      <c r="AG42" s="784" t="s">
        <v>932</v>
      </c>
      <c r="AH42" s="753"/>
      <c r="AI42" s="754"/>
      <c r="AJ42" s="754"/>
      <c r="AK42" s="754"/>
    </row>
    <row r="43" spans="1:39" ht="84" customHeight="1" x14ac:dyDescent="0.2">
      <c r="A43" s="1335"/>
      <c r="B43" s="1335"/>
      <c r="C43" s="1335"/>
      <c r="D43" s="1335"/>
      <c r="E43" s="1335"/>
      <c r="F43" s="1419"/>
      <c r="G43" s="922">
        <v>164</v>
      </c>
      <c r="H43" s="922"/>
      <c r="I43" s="884" t="s">
        <v>1034</v>
      </c>
      <c r="J43" s="925">
        <v>80111621</v>
      </c>
      <c r="K43" s="925" t="s">
        <v>1046</v>
      </c>
      <c r="L43" s="709">
        <v>302018001</v>
      </c>
      <c r="M43" s="925" t="s">
        <v>1030</v>
      </c>
      <c r="N43" s="709" t="s">
        <v>1053</v>
      </c>
      <c r="O43" s="709" t="s">
        <v>1054</v>
      </c>
      <c r="P43" s="750"/>
      <c r="Q43" s="925" t="s">
        <v>101</v>
      </c>
      <c r="R43" s="925" t="s">
        <v>101</v>
      </c>
      <c r="S43" s="925">
        <v>4</v>
      </c>
      <c r="T43" s="925">
        <v>1</v>
      </c>
      <c r="U43" s="925" t="s">
        <v>1031</v>
      </c>
      <c r="V43" s="925" t="s">
        <v>595</v>
      </c>
      <c r="W43" s="753"/>
      <c r="X43" s="927">
        <v>43749552</v>
      </c>
      <c r="Y43" s="755"/>
      <c r="Z43" s="835">
        <f>+W43+X43+Y43</f>
        <v>43749552</v>
      </c>
      <c r="AA43" s="753"/>
      <c r="AB43" s="927">
        <v>43749552</v>
      </c>
      <c r="AC43" s="755"/>
      <c r="AD43" s="754">
        <f t="shared" si="16"/>
        <v>43749552</v>
      </c>
      <c r="AE43" s="776">
        <v>43326</v>
      </c>
      <c r="AF43" s="716">
        <v>98</v>
      </c>
      <c r="AG43" s="784" t="s">
        <v>935</v>
      </c>
      <c r="AH43" s="753"/>
      <c r="AI43" s="754"/>
      <c r="AJ43" s="754"/>
      <c r="AK43" s="754"/>
    </row>
    <row r="44" spans="1:39" ht="84" customHeight="1" x14ac:dyDescent="0.2">
      <c r="A44" s="1335"/>
      <c r="B44" s="1335"/>
      <c r="C44" s="1335"/>
      <c r="D44" s="1335"/>
      <c r="E44" s="1335"/>
      <c r="F44" s="1419"/>
      <c r="G44" s="922">
        <v>168</v>
      </c>
      <c r="H44" s="922"/>
      <c r="I44" s="884" t="s">
        <v>1035</v>
      </c>
      <c r="J44" s="925">
        <v>80111621</v>
      </c>
      <c r="K44" s="925" t="s">
        <v>1046</v>
      </c>
      <c r="L44" s="709">
        <v>302018001</v>
      </c>
      <c r="M44" s="925" t="s">
        <v>1030</v>
      </c>
      <c r="N44" s="709" t="s">
        <v>1053</v>
      </c>
      <c r="O44" s="709" t="s">
        <v>1054</v>
      </c>
      <c r="P44" s="750"/>
      <c r="Q44" s="925" t="s">
        <v>101</v>
      </c>
      <c r="R44" s="925" t="s">
        <v>101</v>
      </c>
      <c r="S44" s="925">
        <v>4</v>
      </c>
      <c r="T44" s="925">
        <v>1</v>
      </c>
      <c r="U44" s="925" t="s">
        <v>1031</v>
      </c>
      <c r="V44" s="925" t="s">
        <v>595</v>
      </c>
      <c r="W44" s="753"/>
      <c r="X44" s="927">
        <v>438541279.00800002</v>
      </c>
      <c r="Y44" s="755"/>
      <c r="Z44" s="835">
        <f t="shared" ref="Z44:Z55" si="17">+W44+X44+Y44</f>
        <v>438541279.00800002</v>
      </c>
      <c r="AA44" s="753"/>
      <c r="AB44" s="927">
        <v>438541279.00800002</v>
      </c>
      <c r="AC44" s="755"/>
      <c r="AD44" s="754">
        <f t="shared" si="16"/>
        <v>438541279.00800002</v>
      </c>
      <c r="AE44" s="776">
        <v>43328</v>
      </c>
      <c r="AF44" s="716">
        <v>106</v>
      </c>
      <c r="AG44" s="784" t="s">
        <v>932</v>
      </c>
      <c r="AH44" s="753"/>
      <c r="AI44" s="754"/>
      <c r="AJ44" s="754"/>
      <c r="AK44" s="754"/>
    </row>
    <row r="45" spans="1:39" ht="62.25" customHeight="1" x14ac:dyDescent="0.2">
      <c r="A45" s="1335"/>
      <c r="B45" s="1335"/>
      <c r="C45" s="1335"/>
      <c r="D45" s="1335"/>
      <c r="E45" s="1335"/>
      <c r="F45" s="1419"/>
      <c r="G45" s="922">
        <v>169</v>
      </c>
      <c r="H45" s="922"/>
      <c r="I45" s="884" t="s">
        <v>1036</v>
      </c>
      <c r="J45" s="925">
        <v>80111621</v>
      </c>
      <c r="K45" s="925" t="s">
        <v>1047</v>
      </c>
      <c r="L45" s="925">
        <v>302018001</v>
      </c>
      <c r="M45" s="925" t="s">
        <v>1030</v>
      </c>
      <c r="N45" s="925" t="s">
        <v>1053</v>
      </c>
      <c r="O45" s="925" t="s">
        <v>1054</v>
      </c>
      <c r="P45" s="925"/>
      <c r="Q45" s="925" t="s">
        <v>550</v>
      </c>
      <c r="R45" s="925" t="s">
        <v>550</v>
      </c>
      <c r="S45" s="925">
        <v>3</v>
      </c>
      <c r="T45" s="925">
        <v>1</v>
      </c>
      <c r="U45" s="925" t="s">
        <v>1031</v>
      </c>
      <c r="V45" s="925" t="s">
        <v>595</v>
      </c>
      <c r="W45" s="925"/>
      <c r="X45" s="927">
        <v>24213550</v>
      </c>
      <c r="Y45" s="927"/>
      <c r="Z45" s="913">
        <f t="shared" si="17"/>
        <v>24213550</v>
      </c>
      <c r="AA45" s="753"/>
      <c r="AB45" s="927">
        <v>24213550</v>
      </c>
      <c r="AC45" s="755"/>
      <c r="AD45" s="754">
        <f t="shared" si="16"/>
        <v>24213550</v>
      </c>
      <c r="AE45" s="776">
        <v>43360</v>
      </c>
      <c r="AF45" s="716">
        <v>116</v>
      </c>
      <c r="AG45" s="784" t="s">
        <v>1119</v>
      </c>
      <c r="AH45" s="753"/>
      <c r="AI45" s="754"/>
      <c r="AJ45" s="754"/>
      <c r="AK45" s="754"/>
    </row>
    <row r="46" spans="1:39" ht="84" customHeight="1" x14ac:dyDescent="0.2">
      <c r="A46" s="1335"/>
      <c r="B46" s="1335"/>
      <c r="C46" s="1335"/>
      <c r="D46" s="1335"/>
      <c r="E46" s="1335"/>
      <c r="F46" s="1419"/>
      <c r="G46" s="922">
        <v>170</v>
      </c>
      <c r="H46" s="922"/>
      <c r="I46" s="884" t="s">
        <v>1037</v>
      </c>
      <c r="J46" s="925">
        <v>80111621</v>
      </c>
      <c r="K46" s="925" t="s">
        <v>1047</v>
      </c>
      <c r="L46" s="709">
        <v>302018001</v>
      </c>
      <c r="M46" s="925" t="s">
        <v>1030</v>
      </c>
      <c r="N46" s="709" t="s">
        <v>1053</v>
      </c>
      <c r="O46" s="709" t="s">
        <v>1054</v>
      </c>
      <c r="P46" s="750"/>
      <c r="Q46" s="925" t="s">
        <v>101</v>
      </c>
      <c r="R46" s="925" t="s">
        <v>101</v>
      </c>
      <c r="S46" s="925">
        <v>4</v>
      </c>
      <c r="T46" s="925">
        <v>1</v>
      </c>
      <c r="U46" s="925" t="s">
        <v>1031</v>
      </c>
      <c r="V46" s="925" t="s">
        <v>595</v>
      </c>
      <c r="W46" s="753"/>
      <c r="X46" s="927">
        <v>34374648</v>
      </c>
      <c r="Y46" s="755"/>
      <c r="Z46" s="835">
        <f t="shared" si="17"/>
        <v>34374648</v>
      </c>
      <c r="AA46" s="753"/>
      <c r="AB46" s="927">
        <v>34374648</v>
      </c>
      <c r="AC46" s="755"/>
      <c r="AD46" s="754">
        <f t="shared" si="16"/>
        <v>34374648</v>
      </c>
      <c r="AE46" s="776">
        <v>43327</v>
      </c>
      <c r="AF46" s="716">
        <v>101</v>
      </c>
      <c r="AG46" s="784" t="s">
        <v>1078</v>
      </c>
      <c r="AH46" s="753"/>
      <c r="AI46" s="754"/>
      <c r="AJ46" s="754"/>
      <c r="AK46" s="754"/>
    </row>
    <row r="47" spans="1:39" ht="66" customHeight="1" x14ac:dyDescent="0.2">
      <c r="A47" s="1421" t="str">
        <f t="shared" ref="A47:E47" si="18">+A37</f>
        <v>115 Fortalecimiento Institucional desde la Gestión Pedagógica</v>
      </c>
      <c r="B47" s="1421" t="str">
        <f t="shared" si="18"/>
        <v>Código 383 
Un sistema de seguimiento a la Política Educativa Distrital en los contestos Escolares Ajustado e Implementado</v>
      </c>
      <c r="C47" s="1421" t="str">
        <f t="shared" si="18"/>
        <v>Componente No.1 "Sistema de Seguimiento a la política educativa distrital en los contextos escolares."</v>
      </c>
      <c r="D47" s="1421" t="str">
        <f t="shared" si="18"/>
        <v>Realizar (13) Estudios en Escuela currículo y pedagogía, Educación y políticas públicas y Cualificación docente</v>
      </c>
      <c r="E47" s="1421" t="str">
        <f t="shared" si="18"/>
        <v>Realizar  tres (3) Estudios en Escuela currículo y pedagogía, Educación y políticas públicas y Cualificación docente</v>
      </c>
      <c r="F47" s="1419" t="str">
        <f>+F37</f>
        <v>Sistema de Monitoreo al cumplimiento de los estándares de calidad en educación inicial</v>
      </c>
      <c r="G47" s="922">
        <v>171</v>
      </c>
      <c r="H47" s="922"/>
      <c r="I47" s="884" t="s">
        <v>1038</v>
      </c>
      <c r="J47" s="925">
        <v>80111621</v>
      </c>
      <c r="K47" s="925" t="s">
        <v>1047</v>
      </c>
      <c r="L47" s="709">
        <v>302018001</v>
      </c>
      <c r="M47" s="925" t="s">
        <v>1030</v>
      </c>
      <c r="N47" s="709" t="s">
        <v>1053</v>
      </c>
      <c r="O47" s="709" t="s">
        <v>1054</v>
      </c>
      <c r="P47" s="750"/>
      <c r="Q47" s="925" t="s">
        <v>101</v>
      </c>
      <c r="R47" s="925" t="s">
        <v>101</v>
      </c>
      <c r="S47" s="925">
        <v>4</v>
      </c>
      <c r="T47" s="925">
        <v>1</v>
      </c>
      <c r="U47" s="925" t="s">
        <v>1031</v>
      </c>
      <c r="V47" s="925" t="s">
        <v>595</v>
      </c>
      <c r="W47" s="753"/>
      <c r="X47" s="927">
        <v>31249680</v>
      </c>
      <c r="Y47" s="755"/>
      <c r="Z47" s="835">
        <f t="shared" si="17"/>
        <v>31249680</v>
      </c>
      <c r="AA47" s="753"/>
      <c r="AB47" s="927">
        <v>31249680</v>
      </c>
      <c r="AC47" s="755"/>
      <c r="AD47" s="754">
        <f t="shared" si="16"/>
        <v>31249680</v>
      </c>
      <c r="AE47" s="776">
        <v>43326</v>
      </c>
      <c r="AF47" s="716">
        <v>99</v>
      </c>
      <c r="AG47" s="784" t="s">
        <v>1076</v>
      </c>
      <c r="AH47" s="753"/>
      <c r="AI47" s="754"/>
      <c r="AJ47" s="754"/>
      <c r="AK47" s="754"/>
    </row>
    <row r="48" spans="1:39" ht="60.75" customHeight="1" x14ac:dyDescent="0.2">
      <c r="A48" s="1421"/>
      <c r="B48" s="1421"/>
      <c r="C48" s="1421"/>
      <c r="D48" s="1421"/>
      <c r="E48" s="1421"/>
      <c r="F48" s="1419"/>
      <c r="G48" s="922">
        <v>164</v>
      </c>
      <c r="H48" s="922"/>
      <c r="I48" s="884" t="s">
        <v>1039</v>
      </c>
      <c r="J48" s="925">
        <v>80111621</v>
      </c>
      <c r="K48" s="925" t="s">
        <v>1047</v>
      </c>
      <c r="L48" s="709">
        <v>302018001</v>
      </c>
      <c r="M48" s="925" t="s">
        <v>1030</v>
      </c>
      <c r="N48" s="709" t="s">
        <v>1053</v>
      </c>
      <c r="O48" s="709" t="s">
        <v>1054</v>
      </c>
      <c r="P48" s="750"/>
      <c r="Q48" s="925" t="s">
        <v>101</v>
      </c>
      <c r="R48" s="925" t="s">
        <v>101</v>
      </c>
      <c r="S48" s="925">
        <v>4</v>
      </c>
      <c r="T48" s="925">
        <v>1</v>
      </c>
      <c r="U48" s="925" t="s">
        <v>1031</v>
      </c>
      <c r="V48" s="925" t="s">
        <v>595</v>
      </c>
      <c r="W48" s="753"/>
      <c r="X48" s="927">
        <v>15624840</v>
      </c>
      <c r="Y48" s="755"/>
      <c r="Z48" s="835">
        <f t="shared" si="17"/>
        <v>15624840</v>
      </c>
      <c r="AA48" s="753"/>
      <c r="AB48" s="927">
        <v>15624840</v>
      </c>
      <c r="AC48" s="755"/>
      <c r="AD48" s="754">
        <f t="shared" si="16"/>
        <v>15624840</v>
      </c>
      <c r="AE48" s="776">
        <v>43325</v>
      </c>
      <c r="AF48" s="716">
        <v>96</v>
      </c>
      <c r="AG48" s="784" t="s">
        <v>1073</v>
      </c>
      <c r="AH48" s="753"/>
      <c r="AI48" s="754"/>
      <c r="AJ48" s="754"/>
      <c r="AK48" s="754"/>
    </row>
    <row r="49" spans="1:39" ht="67.5" customHeight="1" x14ac:dyDescent="0.2">
      <c r="A49" s="1421"/>
      <c r="B49" s="1421"/>
      <c r="C49" s="1421"/>
      <c r="D49" s="1421"/>
      <c r="E49" s="1421"/>
      <c r="F49" s="1419"/>
      <c r="G49" s="922">
        <v>172</v>
      </c>
      <c r="H49" s="922"/>
      <c r="I49" s="884" t="s">
        <v>1040</v>
      </c>
      <c r="J49" s="925">
        <v>80111621</v>
      </c>
      <c r="K49" s="925" t="s">
        <v>1047</v>
      </c>
      <c r="L49" s="709">
        <v>302018001</v>
      </c>
      <c r="M49" s="925" t="s">
        <v>1030</v>
      </c>
      <c r="N49" s="709" t="s">
        <v>1053</v>
      </c>
      <c r="O49" s="709" t="s">
        <v>1054</v>
      </c>
      <c r="P49" s="750"/>
      <c r="Q49" s="925" t="s">
        <v>101</v>
      </c>
      <c r="R49" s="925" t="s">
        <v>101</v>
      </c>
      <c r="S49" s="925">
        <v>4</v>
      </c>
      <c r="T49" s="925">
        <v>1</v>
      </c>
      <c r="U49" s="925" t="s">
        <v>1031</v>
      </c>
      <c r="V49" s="925" t="s">
        <v>595</v>
      </c>
      <c r="W49" s="753"/>
      <c r="X49" s="927">
        <v>21874776</v>
      </c>
      <c r="Y49" s="755"/>
      <c r="Z49" s="835">
        <f t="shared" si="17"/>
        <v>21874776</v>
      </c>
      <c r="AA49" s="753"/>
      <c r="AB49" s="927">
        <v>21874776</v>
      </c>
      <c r="AC49" s="755"/>
      <c r="AD49" s="754">
        <f t="shared" si="16"/>
        <v>21874776</v>
      </c>
      <c r="AE49" s="776">
        <v>43327</v>
      </c>
      <c r="AF49" s="716">
        <v>105</v>
      </c>
      <c r="AG49" s="784" t="s">
        <v>1077</v>
      </c>
      <c r="AH49" s="753"/>
      <c r="AI49" s="754"/>
      <c r="AJ49" s="754"/>
      <c r="AK49" s="754"/>
    </row>
    <row r="50" spans="1:39" ht="49.5" customHeight="1" x14ac:dyDescent="0.2">
      <c r="A50" s="1421"/>
      <c r="B50" s="1421"/>
      <c r="C50" s="1421"/>
      <c r="D50" s="1421"/>
      <c r="E50" s="1421"/>
      <c r="F50" s="1419"/>
      <c r="G50" s="922">
        <v>173</v>
      </c>
      <c r="H50" s="922"/>
      <c r="I50" s="884" t="s">
        <v>1041</v>
      </c>
      <c r="J50" s="925">
        <v>80111621</v>
      </c>
      <c r="K50" s="925" t="s">
        <v>1047</v>
      </c>
      <c r="L50" s="709">
        <v>302018001</v>
      </c>
      <c r="M50" s="925" t="s">
        <v>1030</v>
      </c>
      <c r="N50" s="709" t="s">
        <v>1053</v>
      </c>
      <c r="O50" s="709" t="s">
        <v>1054</v>
      </c>
      <c r="P50" s="750"/>
      <c r="Q50" s="925" t="s">
        <v>101</v>
      </c>
      <c r="R50" s="925" t="s">
        <v>101</v>
      </c>
      <c r="S50" s="925">
        <v>4</v>
      </c>
      <c r="T50" s="925">
        <v>1</v>
      </c>
      <c r="U50" s="925" t="s">
        <v>1031</v>
      </c>
      <c r="V50" s="925" t="s">
        <v>595</v>
      </c>
      <c r="W50" s="753"/>
      <c r="X50" s="927">
        <v>34374648</v>
      </c>
      <c r="Y50" s="755"/>
      <c r="Z50" s="835">
        <f t="shared" si="17"/>
        <v>34374648</v>
      </c>
      <c r="AA50" s="753"/>
      <c r="AB50" s="927">
        <v>34374648</v>
      </c>
      <c r="AC50" s="755"/>
      <c r="AD50" s="754">
        <f t="shared" si="16"/>
        <v>34374648</v>
      </c>
      <c r="AE50" s="776">
        <v>43327</v>
      </c>
      <c r="AF50" s="716">
        <v>104</v>
      </c>
      <c r="AG50" s="784" t="s">
        <v>1079</v>
      </c>
      <c r="AH50" s="753"/>
      <c r="AI50" s="754"/>
      <c r="AJ50" s="754"/>
      <c r="AK50" s="754"/>
    </row>
    <row r="51" spans="1:39" ht="108" x14ac:dyDescent="0.2">
      <c r="A51" s="1421"/>
      <c r="B51" s="1421"/>
      <c r="C51" s="1421"/>
      <c r="D51" s="1421"/>
      <c r="E51" s="1421"/>
      <c r="F51" s="1419"/>
      <c r="G51" s="922">
        <v>174</v>
      </c>
      <c r="H51" s="922"/>
      <c r="I51" s="735" t="s">
        <v>1042</v>
      </c>
      <c r="J51" s="925">
        <v>80111621</v>
      </c>
      <c r="K51" s="925" t="s">
        <v>1047</v>
      </c>
      <c r="L51" s="709">
        <v>302018001</v>
      </c>
      <c r="M51" s="925" t="s">
        <v>1030</v>
      </c>
      <c r="N51" s="709" t="s">
        <v>1053</v>
      </c>
      <c r="O51" s="709" t="s">
        <v>1054</v>
      </c>
      <c r="P51" s="750"/>
      <c r="Q51" s="925" t="s">
        <v>101</v>
      </c>
      <c r="R51" s="925" t="s">
        <v>101</v>
      </c>
      <c r="S51" s="925">
        <v>4</v>
      </c>
      <c r="T51" s="925">
        <v>1</v>
      </c>
      <c r="U51" s="925" t="s">
        <v>1031</v>
      </c>
      <c r="V51" s="925" t="s">
        <v>595</v>
      </c>
      <c r="W51" s="753"/>
      <c r="X51" s="927">
        <v>34374648</v>
      </c>
      <c r="Y51" s="755"/>
      <c r="Z51" s="835">
        <f t="shared" si="17"/>
        <v>34374648</v>
      </c>
      <c r="AA51" s="753"/>
      <c r="AB51" s="927">
        <v>34374648</v>
      </c>
      <c r="AC51" s="755"/>
      <c r="AD51" s="754">
        <f t="shared" si="16"/>
        <v>34374648</v>
      </c>
      <c r="AE51" s="776">
        <v>43343</v>
      </c>
      <c r="AF51" s="716">
        <v>113</v>
      </c>
      <c r="AG51" s="784" t="s">
        <v>1098</v>
      </c>
      <c r="AH51" s="753"/>
      <c r="AI51" s="754"/>
      <c r="AJ51" s="754"/>
      <c r="AK51" s="754"/>
    </row>
    <row r="52" spans="1:39" ht="59.25" customHeight="1" x14ac:dyDescent="0.2">
      <c r="A52" s="1421"/>
      <c r="B52" s="1421"/>
      <c r="C52" s="1421"/>
      <c r="D52" s="1421"/>
      <c r="E52" s="1421"/>
      <c r="F52" s="1419"/>
      <c r="G52" s="922">
        <v>166</v>
      </c>
      <c r="H52" s="922"/>
      <c r="I52" s="735" t="s">
        <v>1043</v>
      </c>
      <c r="J52" s="925">
        <v>80111601</v>
      </c>
      <c r="K52" s="925" t="s">
        <v>1046</v>
      </c>
      <c r="L52" s="709">
        <v>302018001</v>
      </c>
      <c r="M52" s="925" t="s">
        <v>1030</v>
      </c>
      <c r="N52" s="709" t="s">
        <v>1053</v>
      </c>
      <c r="O52" s="709" t="s">
        <v>1054</v>
      </c>
      <c r="P52" s="750"/>
      <c r="Q52" s="925" t="s">
        <v>101</v>
      </c>
      <c r="R52" s="925" t="s">
        <v>101</v>
      </c>
      <c r="S52" s="925">
        <v>4</v>
      </c>
      <c r="T52" s="925">
        <v>1</v>
      </c>
      <c r="U52" s="925" t="s">
        <v>1031</v>
      </c>
      <c r="V52" s="925" t="s">
        <v>595</v>
      </c>
      <c r="W52" s="753"/>
      <c r="X52" s="927">
        <v>15624840</v>
      </c>
      <c r="Y52" s="755"/>
      <c r="Z52" s="835">
        <f t="shared" si="17"/>
        <v>15624840</v>
      </c>
      <c r="AA52" s="753"/>
      <c r="AB52" s="927">
        <v>15624840</v>
      </c>
      <c r="AC52" s="755"/>
      <c r="AD52" s="754">
        <f t="shared" si="16"/>
        <v>15624840</v>
      </c>
      <c r="AE52" s="776">
        <v>43325</v>
      </c>
      <c r="AF52" s="716">
        <v>93</v>
      </c>
      <c r="AG52" s="784" t="s">
        <v>1075</v>
      </c>
      <c r="AH52" s="753"/>
      <c r="AI52" s="754"/>
      <c r="AJ52" s="754"/>
      <c r="AK52" s="754"/>
    </row>
    <row r="53" spans="1:39" ht="58.5" customHeight="1" x14ac:dyDescent="0.2">
      <c r="A53" s="1421"/>
      <c r="B53" s="1421"/>
      <c r="C53" s="1421"/>
      <c r="D53" s="1421"/>
      <c r="E53" s="1421"/>
      <c r="F53" s="1419"/>
      <c r="G53" s="922">
        <v>167</v>
      </c>
      <c r="H53" s="922"/>
      <c r="I53" s="735" t="s">
        <v>1044</v>
      </c>
      <c r="J53" s="925">
        <v>80111601</v>
      </c>
      <c r="K53" s="925" t="s">
        <v>1046</v>
      </c>
      <c r="L53" s="709">
        <v>302018001</v>
      </c>
      <c r="M53" s="925" t="s">
        <v>1030</v>
      </c>
      <c r="N53" s="709" t="s">
        <v>1053</v>
      </c>
      <c r="O53" s="709" t="s">
        <v>1054</v>
      </c>
      <c r="P53" s="750"/>
      <c r="Q53" s="925" t="s">
        <v>101</v>
      </c>
      <c r="R53" s="925" t="s">
        <v>101</v>
      </c>
      <c r="S53" s="925">
        <v>4</v>
      </c>
      <c r="T53" s="925">
        <v>1</v>
      </c>
      <c r="U53" s="925" t="s">
        <v>1031</v>
      </c>
      <c r="V53" s="925" t="s">
        <v>595</v>
      </c>
      <c r="W53" s="753"/>
      <c r="X53" s="927">
        <v>15624840</v>
      </c>
      <c r="Y53" s="755"/>
      <c r="Z53" s="835">
        <f t="shared" si="17"/>
        <v>15624840</v>
      </c>
      <c r="AA53" s="753"/>
      <c r="AB53" s="927">
        <v>15624840</v>
      </c>
      <c r="AC53" s="755"/>
      <c r="AD53" s="754">
        <f t="shared" si="16"/>
        <v>15624840</v>
      </c>
      <c r="AE53" s="776">
        <v>43325</v>
      </c>
      <c r="AF53" s="716">
        <v>97</v>
      </c>
      <c r="AG53" s="784" t="s">
        <v>1074</v>
      </c>
      <c r="AH53" s="753"/>
      <c r="AI53" s="754"/>
      <c r="AJ53" s="754"/>
      <c r="AK53" s="754"/>
    </row>
    <row r="54" spans="1:39" ht="68.25" customHeight="1" x14ac:dyDescent="0.2">
      <c r="A54" s="1421"/>
      <c r="B54" s="1421"/>
      <c r="C54" s="1421"/>
      <c r="D54" s="1421"/>
      <c r="E54" s="1421"/>
      <c r="F54" s="1419"/>
      <c r="G54" s="922">
        <v>175</v>
      </c>
      <c r="H54" s="922"/>
      <c r="I54" s="735" t="s">
        <v>1045</v>
      </c>
      <c r="J54" s="925">
        <v>80111621</v>
      </c>
      <c r="K54" s="925" t="s">
        <v>1047</v>
      </c>
      <c r="L54" s="709">
        <v>302018001</v>
      </c>
      <c r="M54" s="925" t="s">
        <v>1030</v>
      </c>
      <c r="N54" s="709" t="s">
        <v>1053</v>
      </c>
      <c r="O54" s="709" t="s">
        <v>1054</v>
      </c>
      <c r="P54" s="750"/>
      <c r="Q54" s="925" t="s">
        <v>101</v>
      </c>
      <c r="R54" s="925" t="s">
        <v>101</v>
      </c>
      <c r="S54" s="925">
        <v>4</v>
      </c>
      <c r="T54" s="925">
        <v>1</v>
      </c>
      <c r="U54" s="925" t="s">
        <v>1031</v>
      </c>
      <c r="V54" s="925" t="s">
        <v>595</v>
      </c>
      <c r="W54" s="753"/>
      <c r="X54" s="927">
        <v>24999744</v>
      </c>
      <c r="Y54" s="755"/>
      <c r="Z54" s="835">
        <f t="shared" si="17"/>
        <v>24999744</v>
      </c>
      <c r="AA54" s="753"/>
      <c r="AB54" s="927">
        <v>24999744</v>
      </c>
      <c r="AC54" s="755"/>
      <c r="AD54" s="754">
        <f t="shared" si="16"/>
        <v>24999744</v>
      </c>
      <c r="AE54" s="776">
        <v>43327</v>
      </c>
      <c r="AF54" s="716">
        <v>103</v>
      </c>
      <c r="AG54" s="784" t="s">
        <v>1080</v>
      </c>
      <c r="AH54" s="753"/>
      <c r="AI54" s="754"/>
      <c r="AJ54" s="754"/>
      <c r="AK54" s="754"/>
    </row>
    <row r="55" spans="1:39" ht="68.25" customHeight="1" x14ac:dyDescent="0.2">
      <c r="A55" s="1421"/>
      <c r="B55" s="1421"/>
      <c r="C55" s="1421"/>
      <c r="D55" s="1421"/>
      <c r="E55" s="1421"/>
      <c r="F55" s="1420"/>
      <c r="G55" s="709">
        <v>112</v>
      </c>
      <c r="H55" s="709"/>
      <c r="I55" s="735" t="s">
        <v>1009</v>
      </c>
      <c r="J55" s="709">
        <v>80111621</v>
      </c>
      <c r="K55" s="925" t="s">
        <v>1048</v>
      </c>
      <c r="L55" s="709">
        <v>302018001</v>
      </c>
      <c r="M55" s="925" t="s">
        <v>1030</v>
      </c>
      <c r="N55" s="709" t="s">
        <v>1053</v>
      </c>
      <c r="O55" s="709" t="s">
        <v>1054</v>
      </c>
      <c r="P55" s="816" t="s">
        <v>587</v>
      </c>
      <c r="Q55" s="925" t="s">
        <v>101</v>
      </c>
      <c r="R55" s="925" t="s">
        <v>101</v>
      </c>
      <c r="S55" s="925">
        <v>4</v>
      </c>
      <c r="T55" s="925">
        <v>1</v>
      </c>
      <c r="U55" s="925" t="s">
        <v>1031</v>
      </c>
      <c r="V55" s="925" t="s">
        <v>595</v>
      </c>
      <c r="W55" s="754"/>
      <c r="X55" s="927">
        <v>35372955</v>
      </c>
      <c r="Y55" s="754"/>
      <c r="Z55" s="835">
        <f t="shared" si="17"/>
        <v>35372955</v>
      </c>
      <c r="AA55" s="753"/>
      <c r="AB55" s="927">
        <v>35372955</v>
      </c>
      <c r="AC55" s="755"/>
      <c r="AD55" s="754">
        <f t="shared" si="16"/>
        <v>35372955</v>
      </c>
      <c r="AE55" s="775">
        <v>43328</v>
      </c>
      <c r="AF55" s="770">
        <v>107</v>
      </c>
      <c r="AG55" s="782" t="s">
        <v>1066</v>
      </c>
      <c r="AH55" s="753"/>
      <c r="AI55" s="754"/>
      <c r="AJ55" s="754"/>
      <c r="AK55" s="754"/>
    </row>
    <row r="56" spans="1:39" ht="17.25" customHeight="1" thickBot="1" x14ac:dyDescent="0.25">
      <c r="A56" s="1421"/>
      <c r="B56" s="1421"/>
      <c r="C56" s="1421"/>
      <c r="D56" s="1421"/>
      <c r="E56" s="1421"/>
      <c r="F56" s="1407" t="s">
        <v>867</v>
      </c>
      <c r="G56" s="1408"/>
      <c r="H56" s="1408"/>
      <c r="I56" s="1409"/>
      <c r="J56" s="706"/>
      <c r="K56" s="706"/>
      <c r="L56" s="727"/>
      <c r="M56" s="727"/>
      <c r="N56" s="706"/>
      <c r="O56" s="723"/>
      <c r="P56" s="706"/>
      <c r="Q56" s="706"/>
      <c r="R56" s="706"/>
      <c r="S56" s="706"/>
      <c r="T56" s="706"/>
      <c r="U56" s="706"/>
      <c r="V56" s="647"/>
      <c r="W56" s="908">
        <f>SUM(W37)</f>
        <v>0</v>
      </c>
      <c r="X56" s="660">
        <f>SUM(X37:X55)</f>
        <v>1140000000.0079999</v>
      </c>
      <c r="Y56" s="660"/>
      <c r="Z56" s="660">
        <f>+W56+X56+Y56</f>
        <v>1140000000.0079999</v>
      </c>
      <c r="AA56" s="908">
        <f>SUM(AA37)</f>
        <v>0</v>
      </c>
      <c r="AB56" s="660">
        <f>SUM(AB37:AB55)</f>
        <v>1140000000.0079999</v>
      </c>
      <c r="AC56" s="660"/>
      <c r="AD56" s="660">
        <f>+AA56+AB56+AC56</f>
        <v>1140000000.0079999</v>
      </c>
      <c r="AE56" s="778"/>
      <c r="AF56" s="720"/>
      <c r="AG56" s="783"/>
      <c r="AH56" s="908">
        <f>SUM(AH37)</f>
        <v>0</v>
      </c>
      <c r="AI56" s="660">
        <f>370000000+770000000</f>
        <v>1140000000</v>
      </c>
      <c r="AJ56" s="660"/>
      <c r="AK56" s="660">
        <f>+AH56+AI56+AJ56</f>
        <v>1140000000</v>
      </c>
      <c r="AL56" s="749">
        <f>+AD56-AK56</f>
        <v>7.9998970031738281E-3</v>
      </c>
      <c r="AM56" s="749"/>
    </row>
    <row r="57" spans="1:39" ht="30" customHeight="1" x14ac:dyDescent="0.2">
      <c r="A57" s="1421"/>
      <c r="B57" s="1421"/>
      <c r="C57" s="1421"/>
      <c r="D57" s="1421"/>
      <c r="E57" s="1421"/>
      <c r="F57" s="1333" t="s">
        <v>561</v>
      </c>
      <c r="G57" s="731">
        <v>67</v>
      </c>
      <c r="H57" s="864">
        <v>99</v>
      </c>
      <c r="I57" s="735" t="s">
        <v>723</v>
      </c>
      <c r="J57" s="704">
        <v>80111621</v>
      </c>
      <c r="K57" s="598" t="s">
        <v>682</v>
      </c>
      <c r="L57" s="726">
        <v>30303</v>
      </c>
      <c r="M57" s="726" t="s">
        <v>790</v>
      </c>
      <c r="N57" s="726" t="s">
        <v>791</v>
      </c>
      <c r="O57" s="726" t="s">
        <v>794</v>
      </c>
      <c r="P57" s="599" t="s">
        <v>590</v>
      </c>
      <c r="Q57" s="600" t="s">
        <v>548</v>
      </c>
      <c r="R57" s="601" t="s">
        <v>557</v>
      </c>
      <c r="S57" s="602">
        <v>10</v>
      </c>
      <c r="T57" s="603">
        <v>1</v>
      </c>
      <c r="U57" s="818" t="s">
        <v>611</v>
      </c>
      <c r="V57" s="717" t="str">
        <f>IF(U57=listas!$C$1,listas!$B$1,IF(U57=listas!$C$2,listas!$B$2,IF(U57=listas!$C$3,listas!$B$3,IF(U57=listas!$C$4,listas!$B$4,IF(U57=listas!$C$5,listas!$B$5,IF(U57=listas!$C$6,listas!$B$6,IF(U57=listas!$C$7,listas!$B$7,IF(U57=listas!$C$8,listas!$B$8,""))))))))</f>
        <v/>
      </c>
      <c r="W57" s="653">
        <v>69750000</v>
      </c>
      <c r="X57" s="657"/>
      <c r="Y57" s="657"/>
      <c r="Z57" s="835">
        <f t="shared" ref="Z57:Z58" si="19">+W57+X57</f>
        <v>69750000</v>
      </c>
      <c r="AA57" s="653">
        <v>69750000</v>
      </c>
      <c r="AB57" s="657"/>
      <c r="AC57" s="657"/>
      <c r="AD57" s="653">
        <f t="shared" ref="AD57:AD58" si="20">+AA57+AB57</f>
        <v>69750000</v>
      </c>
      <c r="AE57" s="1034">
        <v>43123</v>
      </c>
      <c r="AF57" s="716">
        <v>48</v>
      </c>
      <c r="AG57" s="1035" t="s">
        <v>924</v>
      </c>
      <c r="AH57" s="657"/>
      <c r="AI57" s="653"/>
      <c r="AJ57" s="653"/>
      <c r="AK57" s="653"/>
    </row>
    <row r="58" spans="1:39" ht="48.75" customHeight="1" thickBot="1" x14ac:dyDescent="0.25">
      <c r="A58" s="1421"/>
      <c r="B58" s="1421"/>
      <c r="C58" s="1421"/>
      <c r="D58" s="1421"/>
      <c r="E58" s="1421"/>
      <c r="F58" s="1333"/>
      <c r="G58" s="731">
        <v>68</v>
      </c>
      <c r="H58" s="864">
        <v>100</v>
      </c>
      <c r="I58" s="735" t="s">
        <v>562</v>
      </c>
      <c r="J58" s="704">
        <v>80111621</v>
      </c>
      <c r="K58" s="598" t="s">
        <v>682</v>
      </c>
      <c r="L58" s="726">
        <v>30303</v>
      </c>
      <c r="M58" s="726" t="s">
        <v>790</v>
      </c>
      <c r="N58" s="726" t="s">
        <v>801</v>
      </c>
      <c r="O58" s="726" t="s">
        <v>802</v>
      </c>
      <c r="P58" s="599" t="s">
        <v>590</v>
      </c>
      <c r="Q58" s="600" t="s">
        <v>548</v>
      </c>
      <c r="R58" s="601" t="s">
        <v>557</v>
      </c>
      <c r="S58" s="602">
        <v>9</v>
      </c>
      <c r="T58" s="603">
        <v>1</v>
      </c>
      <c r="U58" s="818" t="s">
        <v>611</v>
      </c>
      <c r="V58" s="717" t="str">
        <f>IF(U58=listas!$C$1,listas!$B$1,IF(U58=listas!$C$2,listas!$B$2,IF(U58=listas!$C$3,listas!$B$3,IF(U58=listas!$C$4,listas!$B$4,IF(U58=listas!$C$5,listas!$B$5,IF(U58=listas!$C$6,listas!$B$6,IF(U58=listas!$C$7,listas!$B$7,IF(U58=listas!$C$8,listas!$B$8,""))))))))</f>
        <v/>
      </c>
      <c r="W58" s="653">
        <v>130250000</v>
      </c>
      <c r="X58" s="657"/>
      <c r="Y58" s="657"/>
      <c r="Z58" s="835">
        <f t="shared" si="19"/>
        <v>130250000</v>
      </c>
      <c r="AA58" s="653">
        <v>130250000</v>
      </c>
      <c r="AB58" s="657"/>
      <c r="AC58" s="657"/>
      <c r="AD58" s="653">
        <f t="shared" si="20"/>
        <v>130250000</v>
      </c>
      <c r="AE58" s="776">
        <v>43126</v>
      </c>
      <c r="AF58" s="716">
        <v>65</v>
      </c>
      <c r="AG58" s="815" t="s">
        <v>925</v>
      </c>
      <c r="AH58" s="657"/>
      <c r="AI58" s="653"/>
      <c r="AJ58" s="653"/>
      <c r="AK58" s="653"/>
    </row>
    <row r="59" spans="1:39" ht="13.5" customHeight="1" thickBot="1" x14ac:dyDescent="0.25">
      <c r="A59" s="1421"/>
      <c r="B59" s="1421"/>
      <c r="C59" s="1421"/>
      <c r="D59" s="1421"/>
      <c r="E59" s="1422"/>
      <c r="F59" s="1332" t="s">
        <v>529</v>
      </c>
      <c r="G59" s="1332"/>
      <c r="H59" s="1332"/>
      <c r="I59" s="1332"/>
      <c r="J59" s="1332"/>
      <c r="K59" s="1332"/>
      <c r="L59" s="1332"/>
      <c r="M59" s="1332"/>
      <c r="N59" s="1332"/>
      <c r="O59" s="1332"/>
      <c r="P59" s="1332"/>
      <c r="Q59" s="1332"/>
      <c r="R59" s="1332"/>
      <c r="S59" s="1332"/>
      <c r="T59" s="1332"/>
      <c r="U59" s="1332"/>
      <c r="V59" s="647"/>
      <c r="W59" s="658">
        <f>SUM(W57:W58)</f>
        <v>200000000</v>
      </c>
      <c r="X59" s="660">
        <f t="shared" ref="X59" si="21">SUM(X57:X58)</f>
        <v>0</v>
      </c>
      <c r="Y59" s="660"/>
      <c r="Z59" s="660">
        <f>SUM(Z57:Z58)</f>
        <v>200000000</v>
      </c>
      <c r="AA59" s="658">
        <f>SUM(AA57:AA58)</f>
        <v>200000000</v>
      </c>
      <c r="AB59" s="660">
        <f t="shared" ref="AB59" si="22">SUM(AB57:AB58)</f>
        <v>0</v>
      </c>
      <c r="AC59" s="660"/>
      <c r="AD59" s="660">
        <f>SUM(AD57:AD58)</f>
        <v>200000000</v>
      </c>
      <c r="AE59" s="660"/>
      <c r="AF59" s="660"/>
      <c r="AG59" s="783"/>
      <c r="AH59" s="658">
        <v>153025000</v>
      </c>
      <c r="AI59" s="660">
        <f t="shared" ref="AI59" si="23">SUM(AI57:AI58)</f>
        <v>0</v>
      </c>
      <c r="AJ59" s="660"/>
      <c r="AK59" s="660">
        <f>+AH59+AI59+AJ59</f>
        <v>153025000</v>
      </c>
      <c r="AL59" s="1135"/>
      <c r="AM59" s="749"/>
    </row>
    <row r="60" spans="1:39" ht="13.5" customHeight="1" thickBot="1" x14ac:dyDescent="0.25">
      <c r="A60" s="959"/>
      <c r="B60" s="1422"/>
      <c r="C60" s="1422"/>
      <c r="D60" s="1422"/>
      <c r="E60" s="1410" t="s">
        <v>530</v>
      </c>
      <c r="F60" s="1411"/>
      <c r="G60" s="1411"/>
      <c r="H60" s="1411"/>
      <c r="I60" s="1411"/>
      <c r="J60" s="1411"/>
      <c r="K60" s="1411"/>
      <c r="L60" s="1411"/>
      <c r="M60" s="1411"/>
      <c r="N60" s="1411"/>
      <c r="O60" s="1411"/>
      <c r="P60" s="1411"/>
      <c r="Q60" s="1411"/>
      <c r="R60" s="1411"/>
      <c r="S60" s="1411"/>
      <c r="T60" s="1411"/>
      <c r="U60" s="1411"/>
      <c r="V60" s="1412"/>
      <c r="W60" s="659">
        <f t="shared" ref="W60:AD60" si="24">+W36+W56+W59</f>
        <v>400000000</v>
      </c>
      <c r="X60" s="659">
        <f t="shared" si="24"/>
        <v>1515881792.0079999</v>
      </c>
      <c r="Y60" s="659">
        <f t="shared" si="24"/>
        <v>0</v>
      </c>
      <c r="Z60" s="659">
        <f t="shared" si="24"/>
        <v>1915881792.0079999</v>
      </c>
      <c r="AA60" s="659">
        <f t="shared" si="24"/>
        <v>400000000</v>
      </c>
      <c r="AB60" s="659">
        <f t="shared" si="24"/>
        <v>1515881792.0079999</v>
      </c>
      <c r="AC60" s="659">
        <f t="shared" si="24"/>
        <v>0</v>
      </c>
      <c r="AD60" s="659">
        <f t="shared" si="24"/>
        <v>1915881792.0079999</v>
      </c>
      <c r="AE60" s="659"/>
      <c r="AF60" s="659"/>
      <c r="AG60" s="785"/>
      <c r="AH60" s="659">
        <f>+AH36+AH56+AH59</f>
        <v>353025000</v>
      </c>
      <c r="AI60" s="659">
        <f t="shared" ref="AI60:AK60" si="25">+AI36+AI56+AI59</f>
        <v>1515881792</v>
      </c>
      <c r="AJ60" s="659">
        <f t="shared" si="25"/>
        <v>0</v>
      </c>
      <c r="AK60" s="659">
        <f t="shared" si="25"/>
        <v>1868906792</v>
      </c>
      <c r="AM60" s="749"/>
    </row>
    <row r="61" spans="1:39" ht="40.5" customHeight="1" x14ac:dyDescent="0.2">
      <c r="A61" s="1334" t="str">
        <f>+A24</f>
        <v>115 Fortalecimiento Institucional desde la Gestión Pedagógica</v>
      </c>
      <c r="B61" s="1334" t="str">
        <f>+B24</f>
        <v>Código 383 
Un sistema de seguimiento a la Política Educativa Distrital en los contestos Escolares Ajustado e Implementado</v>
      </c>
      <c r="C61" s="1334" t="str">
        <f>+C24</f>
        <v>Componente No.1 "Sistema de Seguimiento a la política educativa distrital en los contextos escolares."</v>
      </c>
      <c r="D61" s="1334" t="s">
        <v>509</v>
      </c>
      <c r="E61" s="1334" t="s">
        <v>509</v>
      </c>
      <c r="F61" s="1423" t="s">
        <v>771</v>
      </c>
      <c r="G61" s="709">
        <v>69</v>
      </c>
      <c r="H61" s="865">
        <v>101</v>
      </c>
      <c r="I61" s="735" t="s">
        <v>565</v>
      </c>
      <c r="J61" s="709">
        <v>82111901</v>
      </c>
      <c r="K61" s="595" t="s">
        <v>679</v>
      </c>
      <c r="L61" s="709">
        <v>30303</v>
      </c>
      <c r="M61" s="709" t="s">
        <v>790</v>
      </c>
      <c r="N61" s="709" t="s">
        <v>803</v>
      </c>
      <c r="O61" s="709" t="s">
        <v>804</v>
      </c>
      <c r="P61" s="742" t="s">
        <v>589</v>
      </c>
      <c r="Q61" s="760" t="s">
        <v>548</v>
      </c>
      <c r="R61" s="760" t="s">
        <v>548</v>
      </c>
      <c r="S61" s="910">
        <v>350</v>
      </c>
      <c r="T61" s="597">
        <v>0</v>
      </c>
      <c r="U61" s="923" t="s">
        <v>611</v>
      </c>
      <c r="V61" s="717" t="str">
        <f>IF(U61=listas!$C$1,listas!$B$1,IF(U61=listas!$C$2,listas!$B$2,IF(U61=listas!$C$3,listas!$B$3,IF(U61=listas!$C$4,listas!$B$4,IF(U61=listas!$C$5,listas!$B$5,IF(U61=listas!$C$6,listas!$B$6,IF(U61=listas!$C$7,listas!$B$7,IF(U61=listas!$C$8,listas!$B$8,""))))))))</f>
        <v/>
      </c>
      <c r="W61" s="754">
        <v>33477650</v>
      </c>
      <c r="X61" s="653"/>
      <c r="Y61" s="653"/>
      <c r="Z61" s="835">
        <f t="shared" ref="Z61:Z73" si="26">+W61+X61</f>
        <v>33477650</v>
      </c>
      <c r="AA61" s="653">
        <v>33477650</v>
      </c>
      <c r="AB61" s="653"/>
      <c r="AC61" s="653"/>
      <c r="AD61" s="653">
        <f t="shared" ref="AD61:AD73" si="27">+AA61+AB61</f>
        <v>33477650</v>
      </c>
      <c r="AE61" s="775">
        <v>43116</v>
      </c>
      <c r="AF61" s="1128">
        <v>17</v>
      </c>
      <c r="AG61" s="1139" t="s">
        <v>926</v>
      </c>
      <c r="AH61" s="653"/>
      <c r="AI61" s="653"/>
      <c r="AJ61" s="653"/>
      <c r="AK61" s="653"/>
    </row>
    <row r="62" spans="1:39" ht="38.25" customHeight="1" x14ac:dyDescent="0.2">
      <c r="A62" s="1335"/>
      <c r="B62" s="1335"/>
      <c r="C62" s="1335"/>
      <c r="D62" s="1335"/>
      <c r="E62" s="1335"/>
      <c r="F62" s="1424"/>
      <c r="G62" s="709">
        <v>70</v>
      </c>
      <c r="H62" s="865">
        <v>102</v>
      </c>
      <c r="I62" s="735" t="s">
        <v>566</v>
      </c>
      <c r="J62" s="709">
        <v>82141505</v>
      </c>
      <c r="K62" s="595" t="s">
        <v>679</v>
      </c>
      <c r="L62" s="709">
        <v>30303</v>
      </c>
      <c r="M62" s="709" t="s">
        <v>790</v>
      </c>
      <c r="N62" s="709" t="s">
        <v>805</v>
      </c>
      <c r="O62" s="709" t="s">
        <v>806</v>
      </c>
      <c r="P62" s="742" t="s">
        <v>589</v>
      </c>
      <c r="Q62" s="760" t="s">
        <v>548</v>
      </c>
      <c r="R62" s="760" t="s">
        <v>548</v>
      </c>
      <c r="S62" s="910">
        <v>350</v>
      </c>
      <c r="T62" s="597">
        <v>0</v>
      </c>
      <c r="U62" s="923" t="s">
        <v>611</v>
      </c>
      <c r="V62" s="717" t="str">
        <f>IF(U62=listas!$C$1,listas!$B$1,IF(U62=listas!$C$2,listas!$B$2,IF(U62=listas!$C$3,listas!$B$3,IF(U62=listas!$C$4,listas!$B$4,IF(U62=listas!$C$5,listas!$B$5,IF(U62=listas!$C$6,listas!$B$6,IF(U62=listas!$C$7,listas!$B$7,IF(U62=listas!$C$8,listas!$B$8,""))))))))</f>
        <v/>
      </c>
      <c r="W62" s="754">
        <v>24325950</v>
      </c>
      <c r="X62" s="653"/>
      <c r="Y62" s="653"/>
      <c r="Z62" s="835">
        <f t="shared" si="26"/>
        <v>24325950</v>
      </c>
      <c r="AA62" s="653">
        <v>24325950</v>
      </c>
      <c r="AB62" s="653"/>
      <c r="AC62" s="653"/>
      <c r="AD62" s="653">
        <f t="shared" si="27"/>
        <v>24325950</v>
      </c>
      <c r="AE62" s="775">
        <v>43116</v>
      </c>
      <c r="AF62" s="1128">
        <v>16</v>
      </c>
      <c r="AG62" s="1139" t="s">
        <v>908</v>
      </c>
      <c r="AH62" s="653"/>
      <c r="AI62" s="653"/>
      <c r="AJ62" s="653"/>
      <c r="AK62" s="653"/>
    </row>
    <row r="63" spans="1:39" ht="35.25" customHeight="1" x14ac:dyDescent="0.2">
      <c r="A63" s="1335"/>
      <c r="B63" s="1335"/>
      <c r="C63" s="1335"/>
      <c r="D63" s="1335"/>
      <c r="E63" s="1335"/>
      <c r="F63" s="1424"/>
      <c r="G63" s="709">
        <v>71</v>
      </c>
      <c r="H63" s="865">
        <v>110</v>
      </c>
      <c r="I63" s="735" t="s">
        <v>567</v>
      </c>
      <c r="J63" s="709">
        <v>80161500</v>
      </c>
      <c r="K63" s="759" t="s">
        <v>683</v>
      </c>
      <c r="L63" s="709">
        <v>30303</v>
      </c>
      <c r="M63" s="709" t="s">
        <v>790</v>
      </c>
      <c r="N63" s="709" t="s">
        <v>777</v>
      </c>
      <c r="O63" s="709" t="s">
        <v>807</v>
      </c>
      <c r="P63" s="742" t="s">
        <v>593</v>
      </c>
      <c r="Q63" s="760" t="s">
        <v>548</v>
      </c>
      <c r="R63" s="760" t="s">
        <v>548</v>
      </c>
      <c r="S63" s="910">
        <v>350</v>
      </c>
      <c r="T63" s="597">
        <v>0</v>
      </c>
      <c r="U63" s="923" t="s">
        <v>611</v>
      </c>
      <c r="V63" s="717" t="str">
        <f>IF(U63=listas!$C$1,listas!$B$1,IF(U63=listas!$C$2,listas!$B$2,IF(U63=listas!$C$3,listas!$B$3,IF(U63=listas!$C$4,listas!$B$4,IF(U63=listas!$C$5,listas!$B$5,IF(U63=listas!$C$6,listas!$B$6,IF(U63=listas!$C$7,listas!$B$7,IF(U63=listas!$C$8,listas!$B$8,""))))))))</f>
        <v/>
      </c>
      <c r="W63" s="754">
        <v>35045100</v>
      </c>
      <c r="X63" s="653"/>
      <c r="Y63" s="653"/>
      <c r="Z63" s="835">
        <f t="shared" si="26"/>
        <v>35045100</v>
      </c>
      <c r="AA63" s="653">
        <v>35045100</v>
      </c>
      <c r="AB63" s="653"/>
      <c r="AC63" s="653"/>
      <c r="AD63" s="653">
        <f t="shared" si="27"/>
        <v>35045100</v>
      </c>
      <c r="AE63" s="775">
        <v>43110</v>
      </c>
      <c r="AF63" s="1128">
        <v>3</v>
      </c>
      <c r="AG63" s="1139" t="s">
        <v>906</v>
      </c>
      <c r="AH63" s="653"/>
      <c r="AI63" s="653"/>
      <c r="AJ63" s="653"/>
      <c r="AK63" s="653"/>
    </row>
    <row r="64" spans="1:39" ht="52.5" customHeight="1" x14ac:dyDescent="0.2">
      <c r="A64" s="1335"/>
      <c r="B64" s="1335"/>
      <c r="C64" s="1335"/>
      <c r="D64" s="1335"/>
      <c r="E64" s="1335"/>
      <c r="F64" s="1424"/>
      <c r="G64" s="709">
        <v>72</v>
      </c>
      <c r="H64" s="865">
        <v>120</v>
      </c>
      <c r="I64" s="735" t="s">
        <v>684</v>
      </c>
      <c r="J64" s="709">
        <v>81111800</v>
      </c>
      <c r="K64" s="595" t="s">
        <v>679</v>
      </c>
      <c r="L64" s="709">
        <v>30303</v>
      </c>
      <c r="M64" s="709" t="s">
        <v>790</v>
      </c>
      <c r="N64" s="709" t="s">
        <v>777</v>
      </c>
      <c r="O64" s="709" t="s">
        <v>807</v>
      </c>
      <c r="P64" s="742" t="s">
        <v>589</v>
      </c>
      <c r="Q64" s="760" t="s">
        <v>548</v>
      </c>
      <c r="R64" s="760" t="s">
        <v>548</v>
      </c>
      <c r="S64" s="903">
        <v>350</v>
      </c>
      <c r="T64" s="597">
        <v>0</v>
      </c>
      <c r="U64" s="923" t="s">
        <v>611</v>
      </c>
      <c r="V64" s="717" t="str">
        <f>IF(U64=listas!$C$1,listas!$B$1,IF(U64=listas!$C$2,listas!$B$2,IF(U64=listas!$C$3,listas!$B$3,IF(U64=listas!$C$4,listas!$B$4,IF(U64=listas!$C$5,listas!$B$5,IF(U64=listas!$C$6,listas!$B$6,IF(U64=listas!$C$7,listas!$B$7,IF(U64=listas!$C$8,listas!$B$8,""))))))))</f>
        <v/>
      </c>
      <c r="W64" s="754">
        <v>32890000</v>
      </c>
      <c r="X64" s="653"/>
      <c r="Y64" s="653"/>
      <c r="Z64" s="835">
        <f t="shared" si="26"/>
        <v>32890000</v>
      </c>
      <c r="AA64" s="653">
        <v>32890000</v>
      </c>
      <c r="AB64" s="653"/>
      <c r="AC64" s="653"/>
      <c r="AD64" s="653">
        <f t="shared" si="27"/>
        <v>32890000</v>
      </c>
      <c r="AE64" s="775">
        <v>43111</v>
      </c>
      <c r="AF64" s="1128">
        <v>9</v>
      </c>
      <c r="AG64" s="1139" t="s">
        <v>907</v>
      </c>
      <c r="AH64" s="653"/>
      <c r="AI64" s="653"/>
      <c r="AJ64" s="653"/>
      <c r="AK64" s="653"/>
    </row>
    <row r="65" spans="1:38" ht="36.75" customHeight="1" x14ac:dyDescent="0.2">
      <c r="A65" s="1335"/>
      <c r="B65" s="1335"/>
      <c r="C65" s="1335"/>
      <c r="D65" s="1335"/>
      <c r="E65" s="1335"/>
      <c r="F65" s="1424"/>
      <c r="G65" s="709">
        <v>73</v>
      </c>
      <c r="H65" s="868">
        <v>140</v>
      </c>
      <c r="I65" s="735" t="s">
        <v>685</v>
      </c>
      <c r="J65" s="709">
        <v>82141505</v>
      </c>
      <c r="K65" s="595" t="s">
        <v>682</v>
      </c>
      <c r="L65" s="709">
        <v>3031701</v>
      </c>
      <c r="M65" s="709" t="s">
        <v>808</v>
      </c>
      <c r="N65" s="709" t="s">
        <v>805</v>
      </c>
      <c r="O65" s="709" t="s">
        <v>806</v>
      </c>
      <c r="P65" s="742" t="s">
        <v>592</v>
      </c>
      <c r="Q65" s="760" t="s">
        <v>548</v>
      </c>
      <c r="R65" s="760" t="s">
        <v>548</v>
      </c>
      <c r="S65" s="903">
        <v>11</v>
      </c>
      <c r="T65" s="597">
        <v>1</v>
      </c>
      <c r="U65" s="923" t="s">
        <v>611</v>
      </c>
      <c r="V65" s="717" t="str">
        <f>IF(U65=listas!$C$1,listas!$B$1,IF(U65=listas!$C$2,listas!$B$2,IF(U65=listas!$C$3,listas!$B$3,IF(U65=listas!$C$4,listas!$B$4,IF(U65=listas!$C$5,listas!$B$5,IF(U65=listas!$C$6,listas!$B$6,IF(U65=listas!$C$7,listas!$B$7,IF(U65=listas!$C$8,listas!$B$8,""))))))))</f>
        <v/>
      </c>
      <c r="W65" s="754">
        <v>13817143</v>
      </c>
      <c r="X65" s="653"/>
      <c r="Y65" s="653"/>
      <c r="Z65" s="835">
        <f t="shared" si="26"/>
        <v>13817143</v>
      </c>
      <c r="AA65" s="653">
        <v>13817143</v>
      </c>
      <c r="AB65" s="653"/>
      <c r="AC65" s="653"/>
      <c r="AD65" s="653">
        <f t="shared" si="27"/>
        <v>13817143</v>
      </c>
      <c r="AE65" s="775">
        <v>43123</v>
      </c>
      <c r="AF65" s="1128">
        <v>50</v>
      </c>
      <c r="AG65" s="1139" t="s">
        <v>1217</v>
      </c>
      <c r="AH65" s="653"/>
      <c r="AI65" s="653"/>
      <c r="AJ65" s="653"/>
      <c r="AK65" s="653"/>
    </row>
    <row r="66" spans="1:38" ht="44.25" customHeight="1" x14ac:dyDescent="0.2">
      <c r="A66" s="1335"/>
      <c r="B66" s="1335"/>
      <c r="C66" s="1335"/>
      <c r="D66" s="1335"/>
      <c r="E66" s="1335"/>
      <c r="F66" s="1424"/>
      <c r="G66" s="709">
        <v>74</v>
      </c>
      <c r="H66" s="865">
        <v>190</v>
      </c>
      <c r="I66" s="735" t="s">
        <v>752</v>
      </c>
      <c r="J66" s="709" t="s">
        <v>750</v>
      </c>
      <c r="K66" s="595" t="s">
        <v>682</v>
      </c>
      <c r="L66" s="709">
        <v>3031702</v>
      </c>
      <c r="M66" s="709" t="s">
        <v>809</v>
      </c>
      <c r="N66" s="709" t="s">
        <v>805</v>
      </c>
      <c r="O66" s="709" t="s">
        <v>806</v>
      </c>
      <c r="P66" s="742" t="s">
        <v>592</v>
      </c>
      <c r="Q66" s="760" t="s">
        <v>548</v>
      </c>
      <c r="R66" s="760" t="s">
        <v>548</v>
      </c>
      <c r="S66" s="903">
        <v>11</v>
      </c>
      <c r="T66" s="597">
        <v>1</v>
      </c>
      <c r="U66" s="923" t="s">
        <v>611</v>
      </c>
      <c r="V66" s="717" t="str">
        <f>IF(U66=listas!$C$1,listas!$B$1,IF(U66=listas!$C$2,listas!$B$2,IF(U66=listas!$C$3,listas!$B$3,IF(U66=listas!$C$4,listas!$B$4,IF(U66=listas!$C$5,listas!$B$5,IF(U66=listas!$C$6,listas!$B$6,IF(U66=listas!$C$7,listas!$B$7,IF(U66=listas!$C$8,listas!$B$8,""))))))))</f>
        <v/>
      </c>
      <c r="W66" s="754">
        <f>20382489-42214</f>
        <v>20340275</v>
      </c>
      <c r="X66" s="653"/>
      <c r="Y66" s="653"/>
      <c r="Z66" s="835">
        <f t="shared" si="26"/>
        <v>20340275</v>
      </c>
      <c r="AA66" s="653">
        <f>20382489-42214</f>
        <v>20340275</v>
      </c>
      <c r="AB66" s="653"/>
      <c r="AC66" s="653"/>
      <c r="AD66" s="653">
        <f t="shared" si="27"/>
        <v>20340275</v>
      </c>
      <c r="AE66" s="775">
        <v>43122</v>
      </c>
      <c r="AF66" s="1128">
        <v>33</v>
      </c>
      <c r="AG66" s="1139" t="s">
        <v>910</v>
      </c>
      <c r="AH66" s="653"/>
      <c r="AI66" s="653"/>
      <c r="AJ66" s="653"/>
      <c r="AK66" s="653"/>
    </row>
    <row r="67" spans="1:38" ht="39.75" customHeight="1" x14ac:dyDescent="0.2">
      <c r="A67" s="1335"/>
      <c r="B67" s="1335"/>
      <c r="C67" s="1335"/>
      <c r="D67" s="1335"/>
      <c r="E67" s="1335"/>
      <c r="F67" s="1424"/>
      <c r="G67" s="709">
        <v>75</v>
      </c>
      <c r="H67" s="834">
        <v>191</v>
      </c>
      <c r="I67" s="735" t="s">
        <v>686</v>
      </c>
      <c r="J67" s="1043" t="s">
        <v>568</v>
      </c>
      <c r="K67" s="595" t="s">
        <v>682</v>
      </c>
      <c r="L67" s="1043">
        <v>3031703</v>
      </c>
      <c r="M67" s="1043" t="s">
        <v>810</v>
      </c>
      <c r="N67" s="1043" t="s">
        <v>805</v>
      </c>
      <c r="O67" s="1043" t="s">
        <v>806</v>
      </c>
      <c r="P67" s="742" t="s">
        <v>592</v>
      </c>
      <c r="Q67" s="760" t="s">
        <v>548</v>
      </c>
      <c r="R67" s="760" t="s">
        <v>548</v>
      </c>
      <c r="S67" s="903">
        <v>11</v>
      </c>
      <c r="T67" s="597">
        <v>1</v>
      </c>
      <c r="U67" s="1058" t="s">
        <v>611</v>
      </c>
      <c r="V67" s="717" t="str">
        <f>IF(U67=listas!$C$1,listas!$B$1,IF(U67=listas!$C$2,listas!$B$2,IF(U67=listas!$C$3,listas!$B$3,IF(U67=listas!$C$4,listas!$B$4,IF(U67=listas!$C$5,listas!$B$5,IF(U67=listas!$C$6,listas!$B$6,IF(U67=listas!$C$7,listas!$B$7,IF(U67=listas!$C$8,listas!$B$8,""))))))))</f>
        <v/>
      </c>
      <c r="W67" s="754">
        <f>25721600-7321600</f>
        <v>18400000</v>
      </c>
      <c r="X67" s="754"/>
      <c r="Y67" s="754"/>
      <c r="Z67" s="835">
        <f t="shared" si="26"/>
        <v>18400000</v>
      </c>
      <c r="AA67" s="754">
        <f>25721600-7321600</f>
        <v>18400000</v>
      </c>
      <c r="AB67" s="754"/>
      <c r="AC67" s="754"/>
      <c r="AD67" s="754">
        <f t="shared" si="27"/>
        <v>18400000</v>
      </c>
      <c r="AE67" s="1033">
        <v>43122</v>
      </c>
      <c r="AF67" s="1128">
        <v>34</v>
      </c>
      <c r="AG67" s="1035" t="s">
        <v>927</v>
      </c>
      <c r="AH67" s="653"/>
      <c r="AI67" s="653"/>
      <c r="AJ67" s="653"/>
      <c r="AK67" s="653"/>
    </row>
    <row r="68" spans="1:38" ht="39.75" customHeight="1" x14ac:dyDescent="0.2">
      <c r="A68" s="1335"/>
      <c r="B68" s="1335"/>
      <c r="C68" s="1335"/>
      <c r="D68" s="1335"/>
      <c r="E68" s="1335"/>
      <c r="F68" s="1424"/>
      <c r="G68" s="1043">
        <v>75</v>
      </c>
      <c r="H68" s="834"/>
      <c r="I68" s="884" t="s">
        <v>1125</v>
      </c>
      <c r="J68" s="1043" t="s">
        <v>568</v>
      </c>
      <c r="K68" s="595" t="s">
        <v>682</v>
      </c>
      <c r="L68" s="1043">
        <v>3031703</v>
      </c>
      <c r="M68" s="1043" t="s">
        <v>810</v>
      </c>
      <c r="N68" s="1057" t="s">
        <v>805</v>
      </c>
      <c r="O68" s="1058" t="s">
        <v>806</v>
      </c>
      <c r="P68" s="742" t="s">
        <v>592</v>
      </c>
      <c r="Q68" s="928" t="s">
        <v>551</v>
      </c>
      <c r="R68" s="928" t="s">
        <v>551</v>
      </c>
      <c r="S68" s="903">
        <v>11</v>
      </c>
      <c r="T68" s="597">
        <v>1</v>
      </c>
      <c r="U68" s="1058" t="s">
        <v>611</v>
      </c>
      <c r="V68" s="717" t="str">
        <f>IF(U68=listas!$C$1,listas!$B$1,IF(U68=listas!$C$2,listas!$B$2,IF(U68=listas!$C$3,listas!$B$3,IF(U68=listas!$C$4,listas!$B$4,IF(U68=listas!$C$5,listas!$B$5,IF(U68=listas!$C$6,listas!$B$6,IF(U68=listas!$C$7,listas!$B$7,IF(U68=listas!$C$8,listas!$B$8,""))))))))</f>
        <v/>
      </c>
      <c r="W68" s="754">
        <v>9200000</v>
      </c>
      <c r="X68" s="754"/>
      <c r="Y68" s="754"/>
      <c r="Z68" s="835">
        <f>+W68+X68+Y68</f>
        <v>9200000</v>
      </c>
      <c r="AA68" s="754">
        <v>9200000</v>
      </c>
      <c r="AB68" s="754"/>
      <c r="AC68" s="754"/>
      <c r="AD68" s="754">
        <f>+AA68+AB68+AC68</f>
        <v>9200000</v>
      </c>
      <c r="AE68" s="1033">
        <v>43404</v>
      </c>
      <c r="AF68" s="1128">
        <v>34</v>
      </c>
      <c r="AG68" s="1035" t="s">
        <v>927</v>
      </c>
      <c r="AH68" s="653"/>
      <c r="AI68" s="653"/>
      <c r="AJ68" s="653"/>
      <c r="AK68" s="653"/>
    </row>
    <row r="69" spans="1:38" ht="28.5" customHeight="1" x14ac:dyDescent="0.2">
      <c r="A69" s="1335"/>
      <c r="B69" s="1335"/>
      <c r="C69" s="1335"/>
      <c r="D69" s="1335"/>
      <c r="E69" s="1335"/>
      <c r="F69" s="1424"/>
      <c r="G69" s="933">
        <v>149</v>
      </c>
      <c r="H69" s="709">
        <v>192</v>
      </c>
      <c r="I69" s="735" t="s">
        <v>946</v>
      </c>
      <c r="J69" s="909" t="s">
        <v>1086</v>
      </c>
      <c r="K69" s="595" t="s">
        <v>682</v>
      </c>
      <c r="L69" s="909">
        <v>30303</v>
      </c>
      <c r="M69" s="709" t="s">
        <v>790</v>
      </c>
      <c r="N69" s="709" t="s">
        <v>1084</v>
      </c>
      <c r="O69" s="709" t="s">
        <v>1085</v>
      </c>
      <c r="P69" s="742" t="s">
        <v>592</v>
      </c>
      <c r="Q69" s="760" t="s">
        <v>101</v>
      </c>
      <c r="R69" s="760" t="s">
        <v>59</v>
      </c>
      <c r="S69" s="910">
        <v>3</v>
      </c>
      <c r="T69" s="597">
        <v>1</v>
      </c>
      <c r="U69" s="935" t="s">
        <v>597</v>
      </c>
      <c r="V69" s="717" t="str">
        <f>IF(U69=listas!$C$1,listas!$B$1,IF(U69=listas!$C$2,listas!$B$2,IF(U69=listas!$C$3,listas!$B$3,IF(U69=listas!$C$4,listas!$B$4,IF(U69=listas!$C$5,listas!$B$5,IF(U69=listas!$C$6,listas!$B$6,IF(U69=listas!$C$7,listas!$B$7,IF(U69=listas!$C$8,listas!$B$8,""))))))))</f>
        <v>CCE-10</v>
      </c>
      <c r="W69" s="754">
        <v>5699996</v>
      </c>
      <c r="X69" s="754"/>
      <c r="Y69" s="754"/>
      <c r="Z69" s="835">
        <f t="shared" si="26"/>
        <v>5699996</v>
      </c>
      <c r="AA69" s="653">
        <v>5699996</v>
      </c>
      <c r="AB69" s="653"/>
      <c r="AC69" s="653"/>
      <c r="AD69" s="653">
        <f>+AA69+AB69+AC69</f>
        <v>5699996</v>
      </c>
      <c r="AE69" s="775">
        <v>43356</v>
      </c>
      <c r="AF69" s="1128">
        <v>114</v>
      </c>
      <c r="AG69" s="1139" t="s">
        <v>1100</v>
      </c>
      <c r="AH69" s="625"/>
      <c r="AI69" s="653"/>
      <c r="AJ69" s="653"/>
      <c r="AK69" s="653"/>
    </row>
    <row r="70" spans="1:38" ht="33" customHeight="1" x14ac:dyDescent="0.2">
      <c r="A70" s="1335"/>
      <c r="B70" s="1335"/>
      <c r="C70" s="1335"/>
      <c r="D70" s="1335"/>
      <c r="E70" s="1335"/>
      <c r="F70" s="1424"/>
      <c r="G70" s="933"/>
      <c r="H70" s="1010"/>
      <c r="I70" s="735" t="s">
        <v>1099</v>
      </c>
      <c r="J70" s="909"/>
      <c r="K70" s="595"/>
      <c r="L70" s="909"/>
      <c r="M70" s="709"/>
      <c r="N70" s="709"/>
      <c r="O70" s="709"/>
      <c r="P70" s="742"/>
      <c r="Q70" s="760"/>
      <c r="R70" s="760"/>
      <c r="S70" s="910"/>
      <c r="T70" s="597"/>
      <c r="U70" s="1026"/>
      <c r="V70" s="717"/>
      <c r="W70" s="754">
        <f>7018058-AA69-1318062</f>
        <v>0</v>
      </c>
      <c r="X70" s="754"/>
      <c r="Y70" s="754"/>
      <c r="Z70" s="835">
        <f>+W70+X70+Y70</f>
        <v>0</v>
      </c>
      <c r="AA70" s="653"/>
      <c r="AB70" s="653"/>
      <c r="AC70" s="653"/>
      <c r="AD70" s="653"/>
      <c r="AE70" s="775"/>
      <c r="AF70" s="1128"/>
      <c r="AG70" s="1139"/>
      <c r="AH70" s="653"/>
      <c r="AI70" s="653"/>
      <c r="AJ70" s="653"/>
      <c r="AK70" s="653"/>
    </row>
    <row r="71" spans="1:38" ht="70.5" customHeight="1" x14ac:dyDescent="0.2">
      <c r="A71" s="1335"/>
      <c r="B71" s="1335"/>
      <c r="C71" s="1335"/>
      <c r="D71" s="1335"/>
      <c r="E71" s="1335"/>
      <c r="F71" s="1424"/>
      <c r="G71" s="709">
        <v>48</v>
      </c>
      <c r="H71" s="868">
        <v>193</v>
      </c>
      <c r="I71" s="735" t="s">
        <v>678</v>
      </c>
      <c r="J71" s="709">
        <v>80111621</v>
      </c>
      <c r="K71" s="595" t="s">
        <v>679</v>
      </c>
      <c r="L71" s="709">
        <v>30301</v>
      </c>
      <c r="M71" s="709" t="s">
        <v>811</v>
      </c>
      <c r="N71" s="709" t="s">
        <v>774</v>
      </c>
      <c r="O71" s="709" t="s">
        <v>795</v>
      </c>
      <c r="P71" s="742" t="s">
        <v>589</v>
      </c>
      <c r="Q71" s="760" t="s">
        <v>548</v>
      </c>
      <c r="R71" s="760" t="s">
        <v>548</v>
      </c>
      <c r="S71" s="903">
        <v>11</v>
      </c>
      <c r="T71" s="597">
        <v>1</v>
      </c>
      <c r="U71" s="1026" t="s">
        <v>611</v>
      </c>
      <c r="V71" s="717" t="str">
        <f>IF(U71=listas!$C$1,listas!$B$1,IF(U71=listas!$C$2,listas!$B$2,IF(U71=listas!$C$3,listas!$B$3,IF(U71=listas!$C$4,listas!$B$4,IF(U71=listas!$C$5,listas!$B$5,IF(U71=listas!$C$6,listas!$B$6,IF(U71=listas!$C$7,listas!$B$7,IF(U71=listas!$C$8,listas!$B$8,""))))))))</f>
        <v/>
      </c>
      <c r="W71" s="754">
        <f>40336608+42214+7321600</f>
        <v>47700422</v>
      </c>
      <c r="X71" s="754"/>
      <c r="Y71" s="754"/>
      <c r="Z71" s="835">
        <f t="shared" si="26"/>
        <v>47700422</v>
      </c>
      <c r="AA71" s="653">
        <f>40336608+42214+7321600</f>
        <v>47700422</v>
      </c>
      <c r="AB71" s="653"/>
      <c r="AC71" s="653"/>
      <c r="AD71" s="653">
        <f t="shared" si="27"/>
        <v>47700422</v>
      </c>
      <c r="AE71" s="775">
        <v>43119</v>
      </c>
      <c r="AF71" s="1128">
        <v>31</v>
      </c>
      <c r="AG71" s="782" t="s">
        <v>885</v>
      </c>
      <c r="AH71" s="653"/>
      <c r="AI71" s="653"/>
      <c r="AJ71" s="653"/>
      <c r="AK71" s="653"/>
    </row>
    <row r="72" spans="1:38" ht="23.25" customHeight="1" x14ac:dyDescent="0.2">
      <c r="A72" s="1335"/>
      <c r="B72" s="1335"/>
      <c r="C72" s="1335"/>
      <c r="D72" s="1335"/>
      <c r="E72" s="1335"/>
      <c r="F72" s="1424"/>
      <c r="G72" s="709">
        <v>77</v>
      </c>
      <c r="H72" s="709">
        <v>194</v>
      </c>
      <c r="I72" s="735" t="s">
        <v>687</v>
      </c>
      <c r="J72" s="709">
        <v>43231512</v>
      </c>
      <c r="K72" s="759" t="s">
        <v>683</v>
      </c>
      <c r="L72" s="709">
        <v>30303</v>
      </c>
      <c r="M72" s="709" t="s">
        <v>790</v>
      </c>
      <c r="N72" s="709" t="s">
        <v>775</v>
      </c>
      <c r="O72" s="709" t="s">
        <v>812</v>
      </c>
      <c r="P72" s="742" t="s">
        <v>593</v>
      </c>
      <c r="Q72" s="760" t="s">
        <v>101</v>
      </c>
      <c r="R72" s="760" t="s">
        <v>550</v>
      </c>
      <c r="S72" s="903">
        <v>12</v>
      </c>
      <c r="T72" s="597">
        <v>1</v>
      </c>
      <c r="U72" s="1026" t="s">
        <v>950</v>
      </c>
      <c r="V72" s="717" t="str">
        <f>IF(U72=listas!$C$1,listas!$B$1,IF(U72=listas!$C$2,listas!$B$2,IF(U72=listas!$C$3,listas!$B$3,IF(U72=listas!$C$4,listas!$B$4,IF(U72=listas!$C$5,listas!$B$5,IF(U72=listas!$C$6,listas!$B$6,IF(U72=listas!$C$7,listas!$B$7,IF(U72=listas!$C$8,listas!$B$8,""))))))))</f>
        <v>CCE-07</v>
      </c>
      <c r="W72" s="754">
        <f>10000000-10000000</f>
        <v>0</v>
      </c>
      <c r="X72" s="754"/>
      <c r="Y72" s="754"/>
      <c r="Z72" s="835">
        <f t="shared" si="26"/>
        <v>0</v>
      </c>
      <c r="AA72" s="653"/>
      <c r="AB72" s="653"/>
      <c r="AC72" s="653"/>
      <c r="AD72" s="653"/>
      <c r="AE72" s="775"/>
      <c r="AF72" s="1128"/>
      <c r="AG72" s="782"/>
      <c r="AH72" s="653"/>
      <c r="AI72" s="653"/>
      <c r="AJ72" s="653"/>
      <c r="AK72" s="653"/>
    </row>
    <row r="73" spans="1:38" ht="33" customHeight="1" x14ac:dyDescent="0.2">
      <c r="A73" s="1335"/>
      <c r="B73" s="1335"/>
      <c r="C73" s="1335"/>
      <c r="D73" s="1335"/>
      <c r="E73" s="1335"/>
      <c r="F73" s="1424"/>
      <c r="G73" s="709">
        <v>144</v>
      </c>
      <c r="H73" s="865">
        <v>195</v>
      </c>
      <c r="I73" s="735" t="s">
        <v>772</v>
      </c>
      <c r="J73" s="709">
        <v>82111801</v>
      </c>
      <c r="K73" s="759" t="s">
        <v>683</v>
      </c>
      <c r="L73" s="709">
        <v>30303</v>
      </c>
      <c r="M73" s="709" t="s">
        <v>790</v>
      </c>
      <c r="N73" s="709" t="s">
        <v>805</v>
      </c>
      <c r="O73" s="709" t="s">
        <v>806</v>
      </c>
      <c r="P73" s="742" t="s">
        <v>593</v>
      </c>
      <c r="Q73" s="760" t="s">
        <v>548</v>
      </c>
      <c r="R73" s="760" t="s">
        <v>548</v>
      </c>
      <c r="S73" s="903">
        <v>4</v>
      </c>
      <c r="T73" s="597">
        <v>1</v>
      </c>
      <c r="U73" s="1026" t="s">
        <v>611</v>
      </c>
      <c r="V73" s="717" t="str">
        <f>IF(U73=listas!$C$1,listas!$B$1,IF(U73=listas!$C$2,listas!$B$2,IF(U73=listas!$C$3,listas!$B$3,IF(U73=listas!$C$4,listas!$B$4,IF(U73=listas!$C$5,listas!$B$5,IF(U73=listas!$C$6,listas!$B$6,IF(U73=listas!$C$7,listas!$B$7,IF(U73=listas!$C$8,listas!$B$8,""))))))))</f>
        <v/>
      </c>
      <c r="W73" s="754">
        <v>12051000</v>
      </c>
      <c r="X73" s="754"/>
      <c r="Y73" s="754"/>
      <c r="Z73" s="835">
        <f t="shared" si="26"/>
        <v>12051000</v>
      </c>
      <c r="AA73" s="754">
        <v>12051000</v>
      </c>
      <c r="AB73" s="754"/>
      <c r="AC73" s="754"/>
      <c r="AD73" s="754">
        <f t="shared" si="27"/>
        <v>12051000</v>
      </c>
      <c r="AE73" s="775">
        <v>43126</v>
      </c>
      <c r="AF73" s="1128">
        <v>61</v>
      </c>
      <c r="AG73" s="1035" t="s">
        <v>928</v>
      </c>
      <c r="AH73" s="754"/>
      <c r="AI73" s="754"/>
      <c r="AJ73" s="754"/>
      <c r="AK73" s="754"/>
    </row>
    <row r="74" spans="1:38" ht="34.5" customHeight="1" x14ac:dyDescent="0.2">
      <c r="A74" s="1335"/>
      <c r="B74" s="1335"/>
      <c r="C74" s="1335"/>
      <c r="D74" s="1335"/>
      <c r="E74" s="1335"/>
      <c r="F74" s="1424"/>
      <c r="G74" s="709">
        <v>149</v>
      </c>
      <c r="H74" s="924"/>
      <c r="I74" s="884" t="s">
        <v>1022</v>
      </c>
      <c r="J74" s="1024">
        <v>8011621</v>
      </c>
      <c r="K74" s="759" t="s">
        <v>1063</v>
      </c>
      <c r="L74" s="709">
        <v>30303</v>
      </c>
      <c r="M74" s="709" t="s">
        <v>790</v>
      </c>
      <c r="N74" s="1024">
        <v>2.4</v>
      </c>
      <c r="O74" s="709" t="s">
        <v>1014</v>
      </c>
      <c r="P74" s="742" t="s">
        <v>587</v>
      </c>
      <c r="Q74" s="928" t="s">
        <v>551</v>
      </c>
      <c r="R74" s="928" t="s">
        <v>551</v>
      </c>
      <c r="S74" s="929">
        <v>4</v>
      </c>
      <c r="T74" s="752">
        <v>1</v>
      </c>
      <c r="U74" s="1026" t="s">
        <v>611</v>
      </c>
      <c r="V74" s="717" t="str">
        <f>IF(U74=listas!$C$1,listas!$B$1,IF(U74=listas!$C$2,listas!$B$2,IF(U74=listas!$C$3,listas!$B$3,IF(U74=listas!$C$4,listas!$B$4,IF(U74=listas!$C$5,listas!$B$5,IF(U74=listas!$C$6,listas!$B$6,IF(U74=listas!$C$7,listas!$B$7,IF(U74=listas!$C$8,listas!$B$8,""))))))))</f>
        <v/>
      </c>
      <c r="W74" s="754">
        <f>25683402-9661341-16022061</f>
        <v>0</v>
      </c>
      <c r="X74" s="754"/>
      <c r="Y74" s="754"/>
      <c r="Z74" s="835">
        <f t="shared" ref="Z74:Z79" si="28">+W74+X74+Y74</f>
        <v>0</v>
      </c>
      <c r="AA74" s="754"/>
      <c r="AB74" s="754"/>
      <c r="AC74" s="754"/>
      <c r="AD74" s="754"/>
      <c r="AE74" s="775"/>
      <c r="AF74" s="1128"/>
      <c r="AG74" s="1035"/>
      <c r="AH74" s="754"/>
      <c r="AI74" s="754"/>
      <c r="AJ74" s="754"/>
      <c r="AK74" s="754"/>
    </row>
    <row r="75" spans="1:38" ht="39" customHeight="1" x14ac:dyDescent="0.2">
      <c r="A75" s="1335"/>
      <c r="B75" s="1335"/>
      <c r="C75" s="1335"/>
      <c r="D75" s="1335"/>
      <c r="E75" s="1335"/>
      <c r="F75" s="1424"/>
      <c r="G75" s="709">
        <v>149</v>
      </c>
      <c r="H75" s="924"/>
      <c r="I75" s="884" t="s">
        <v>1010</v>
      </c>
      <c r="J75" s="1024">
        <v>80161500</v>
      </c>
      <c r="K75" s="759" t="s">
        <v>716</v>
      </c>
      <c r="L75" s="709">
        <v>30303</v>
      </c>
      <c r="M75" s="709" t="s">
        <v>790</v>
      </c>
      <c r="N75" s="1024">
        <v>2.1</v>
      </c>
      <c r="O75" s="709" t="s">
        <v>807</v>
      </c>
      <c r="P75" s="742" t="s">
        <v>647</v>
      </c>
      <c r="Q75" s="928" t="s">
        <v>101</v>
      </c>
      <c r="R75" s="928" t="s">
        <v>101</v>
      </c>
      <c r="S75" s="929">
        <v>2</v>
      </c>
      <c r="T75" s="752">
        <v>1</v>
      </c>
      <c r="U75" s="1026" t="s">
        <v>611</v>
      </c>
      <c r="V75" s="717" t="str">
        <f>IF(U75=listas!$C$1,listas!$B$1,IF(U75=listas!$C$2,listas!$B$2,IF(U75=listas!$C$3,listas!$B$3,IF(U75=listas!$C$4,listas!$B$4,IF(U75=listas!$C$5,listas!$B$5,IF(U75=listas!$C$6,listas!$B$6,IF(U75=listas!$C$7,listas!$B$7,IF(U75=listas!$C$8,listas!$B$8,""))))))))</f>
        <v/>
      </c>
      <c r="W75" s="754">
        <v>4500000</v>
      </c>
      <c r="X75" s="754"/>
      <c r="Y75" s="754"/>
      <c r="Z75" s="835">
        <f t="shared" si="28"/>
        <v>4500000</v>
      </c>
      <c r="AA75" s="754">
        <v>4500000</v>
      </c>
      <c r="AB75" s="754"/>
      <c r="AC75" s="754"/>
      <c r="AD75" s="754">
        <f>+AA75+AB75+AC75</f>
        <v>4500000</v>
      </c>
      <c r="AE75" s="775">
        <v>43341</v>
      </c>
      <c r="AF75" s="1128">
        <v>112</v>
      </c>
      <c r="AG75" s="1035" t="s">
        <v>1089</v>
      </c>
      <c r="AH75" s="754"/>
      <c r="AI75" s="754"/>
      <c r="AJ75" s="754"/>
      <c r="AK75" s="754"/>
    </row>
    <row r="76" spans="1:38" ht="31.5" customHeight="1" x14ac:dyDescent="0.2">
      <c r="A76" s="1335"/>
      <c r="B76" s="1335"/>
      <c r="C76" s="1335"/>
      <c r="D76" s="1335"/>
      <c r="E76" s="1017"/>
      <c r="F76" s="1424"/>
      <c r="G76" s="709">
        <v>149</v>
      </c>
      <c r="H76" s="924"/>
      <c r="I76" s="884" t="s">
        <v>1114</v>
      </c>
      <c r="J76" s="1024" t="s">
        <v>1108</v>
      </c>
      <c r="K76" s="759" t="s">
        <v>679</v>
      </c>
      <c r="L76" s="1024">
        <v>30303</v>
      </c>
      <c r="M76" s="709" t="s">
        <v>790</v>
      </c>
      <c r="N76" s="1024">
        <v>2.4</v>
      </c>
      <c r="O76" s="1024" t="s">
        <v>1014</v>
      </c>
      <c r="P76" s="742" t="s">
        <v>1115</v>
      </c>
      <c r="Q76" s="928" t="s">
        <v>551</v>
      </c>
      <c r="R76" s="928" t="s">
        <v>551</v>
      </c>
      <c r="S76" s="929">
        <v>2</v>
      </c>
      <c r="T76" s="752">
        <v>1</v>
      </c>
      <c r="U76" s="1025" t="s">
        <v>597</v>
      </c>
      <c r="V76" s="848" t="str">
        <f>IF(U76=listas!$C$1,listas!$B$1,IF(U76=listas!$C$2,listas!$B$2,IF(U76=listas!$C$3,listas!$B$3,IF(U76=listas!$C$4,listas!$B$4,IF(U76=listas!$C$5,listas!$B$5,IF(U76=listas!$C$6,listas!$B$6,IF(U76=listas!$C$7,listas!$B$7,IF(U76=listas!$C$8,listas!$B$8,""))))))))</f>
        <v>CCE-10</v>
      </c>
      <c r="W76" s="754">
        <v>10979403</v>
      </c>
      <c r="X76" s="754"/>
      <c r="Y76" s="754"/>
      <c r="Z76" s="835">
        <f t="shared" si="28"/>
        <v>10979403</v>
      </c>
      <c r="AA76" s="754">
        <v>10979403</v>
      </c>
      <c r="AB76" s="754"/>
      <c r="AC76" s="754"/>
      <c r="AD76" s="754">
        <v>10979403</v>
      </c>
      <c r="AE76" s="775">
        <v>43392</v>
      </c>
      <c r="AF76" s="1128">
        <v>124</v>
      </c>
      <c r="AG76" s="1035" t="s">
        <v>1135</v>
      </c>
      <c r="AH76" s="754"/>
      <c r="AI76" s="754"/>
      <c r="AJ76" s="754"/>
      <c r="AK76" s="754"/>
    </row>
    <row r="77" spans="1:38" ht="39.75" customHeight="1" x14ac:dyDescent="0.2">
      <c r="A77" s="1335"/>
      <c r="B77" s="1335"/>
      <c r="C77" s="1335"/>
      <c r="D77" s="1335"/>
      <c r="E77" s="1042"/>
      <c r="F77" s="1424"/>
      <c r="G77" s="1043">
        <v>149</v>
      </c>
      <c r="H77" s="924"/>
      <c r="I77" s="884" t="s">
        <v>1126</v>
      </c>
      <c r="J77" s="1043">
        <v>81116000</v>
      </c>
      <c r="K77" s="1031" t="s">
        <v>1127</v>
      </c>
      <c r="L77" s="1045">
        <v>30303</v>
      </c>
      <c r="M77" s="1046" t="s">
        <v>790</v>
      </c>
      <c r="N77" s="1024" t="s">
        <v>827</v>
      </c>
      <c r="O77" s="1024" t="s">
        <v>828</v>
      </c>
      <c r="P77" s="742" t="s">
        <v>647</v>
      </c>
      <c r="Q77" s="1046" t="s">
        <v>551</v>
      </c>
      <c r="R77" s="928" t="s">
        <v>551</v>
      </c>
      <c r="S77" s="929">
        <v>2</v>
      </c>
      <c r="T77" s="752">
        <v>1</v>
      </c>
      <c r="U77" s="1044" t="s">
        <v>611</v>
      </c>
      <c r="V77" s="717" t="str">
        <f>IF(U77=listas!$C$1,listas!$B$1,IF(U77=listas!$C$2,listas!$B$2,IF(U77=listas!$C$3,listas!$B$3,IF(U77=listas!$C$4,listas!$B$4,IF(U77=listas!$C$5,listas!$B$5,IF(U77=listas!$C$6,listas!$B$6,IF(U77=listas!$C$7,listas!$B$7,IF(U77=listas!$C$8,listas!$B$8,""))))))))</f>
        <v/>
      </c>
      <c r="W77" s="754">
        <v>1562484</v>
      </c>
      <c r="X77" s="754"/>
      <c r="Y77" s="754"/>
      <c r="Z77" s="835">
        <f t="shared" si="28"/>
        <v>1562484</v>
      </c>
      <c r="AA77" s="653">
        <v>1562484</v>
      </c>
      <c r="AB77" s="653"/>
      <c r="AC77" s="653"/>
      <c r="AD77" s="653">
        <f>+AA77+AB77+AC77</f>
        <v>1562484</v>
      </c>
      <c r="AE77" s="775">
        <v>43398</v>
      </c>
      <c r="AF77" s="1129">
        <v>127</v>
      </c>
      <c r="AG77" s="1139" t="s">
        <v>1138</v>
      </c>
      <c r="AH77" s="754"/>
      <c r="AI77" s="754"/>
      <c r="AJ77" s="754"/>
      <c r="AK77" s="754"/>
    </row>
    <row r="78" spans="1:38" ht="46.5" customHeight="1" x14ac:dyDescent="0.2">
      <c r="A78" s="1335"/>
      <c r="B78" s="1335"/>
      <c r="C78" s="1335"/>
      <c r="D78" s="1335"/>
      <c r="E78" s="1042"/>
      <c r="F78" s="1424"/>
      <c r="G78" s="1043">
        <v>149</v>
      </c>
      <c r="H78" s="924"/>
      <c r="I78" s="576" t="s">
        <v>1128</v>
      </c>
      <c r="J78" s="1043">
        <v>81116000</v>
      </c>
      <c r="K78" s="1031" t="s">
        <v>1127</v>
      </c>
      <c r="L78" s="1045">
        <v>30303</v>
      </c>
      <c r="M78" s="1046" t="s">
        <v>790</v>
      </c>
      <c r="N78" s="1043" t="s">
        <v>827</v>
      </c>
      <c r="O78" s="1024" t="s">
        <v>828</v>
      </c>
      <c r="P78" s="742" t="s">
        <v>647</v>
      </c>
      <c r="Q78" s="1046" t="s">
        <v>551</v>
      </c>
      <c r="R78" s="928" t="s">
        <v>551</v>
      </c>
      <c r="S78" s="929">
        <v>2</v>
      </c>
      <c r="T78" s="752">
        <v>1</v>
      </c>
      <c r="U78" s="1044" t="s">
        <v>611</v>
      </c>
      <c r="V78" s="717" t="str">
        <f>IF(U78=listas!$C$1,listas!$B$1,IF(U78=listas!$C$2,listas!$B$2,IF(U78=listas!$C$3,listas!$B$3,IF(U78=listas!$C$4,listas!$B$4,IF(U78=listas!$C$5,listas!$B$5,IF(U78=listas!$C$6,listas!$B$6,IF(U78=listas!$C$7,listas!$B$7,IF(U78=listas!$C$8,listas!$B$8,""))))))))</f>
        <v/>
      </c>
      <c r="W78" s="754">
        <v>2343726</v>
      </c>
      <c r="X78" s="754"/>
      <c r="Y78" s="754"/>
      <c r="Z78" s="835">
        <f t="shared" si="28"/>
        <v>2343726</v>
      </c>
      <c r="AA78" s="754">
        <v>2343726</v>
      </c>
      <c r="AB78" s="754"/>
      <c r="AC78" s="754"/>
      <c r="AD78" s="754">
        <f>+AA78+AB78+AC78</f>
        <v>2343726</v>
      </c>
      <c r="AE78" s="775">
        <v>43398</v>
      </c>
      <c r="AF78" s="1128">
        <v>126</v>
      </c>
      <c r="AG78" s="1035" t="s">
        <v>1137</v>
      </c>
      <c r="AH78" s="754"/>
      <c r="AI78" s="754"/>
      <c r="AJ78" s="754"/>
      <c r="AK78" s="754"/>
    </row>
    <row r="79" spans="1:38" ht="43.5" customHeight="1" x14ac:dyDescent="0.2">
      <c r="A79" s="1335"/>
      <c r="B79" s="1335"/>
      <c r="C79" s="1335"/>
      <c r="D79" s="1335"/>
      <c r="E79" s="1042"/>
      <c r="F79" s="1424"/>
      <c r="G79" s="1043">
        <v>149</v>
      </c>
      <c r="H79" s="924"/>
      <c r="I79" s="576" t="s">
        <v>1129</v>
      </c>
      <c r="J79" s="1043">
        <v>81116000</v>
      </c>
      <c r="K79" s="1031" t="s">
        <v>679</v>
      </c>
      <c r="L79" s="1045">
        <v>30303</v>
      </c>
      <c r="M79" s="1046" t="s">
        <v>790</v>
      </c>
      <c r="N79" s="1043" t="s">
        <v>827</v>
      </c>
      <c r="O79" s="1024" t="s">
        <v>828</v>
      </c>
      <c r="P79" s="742" t="s">
        <v>727</v>
      </c>
      <c r="Q79" s="1046" t="s">
        <v>551</v>
      </c>
      <c r="R79" s="928" t="s">
        <v>551</v>
      </c>
      <c r="S79" s="929">
        <v>80</v>
      </c>
      <c r="T79" s="752">
        <v>0</v>
      </c>
      <c r="U79" s="1044" t="s">
        <v>611</v>
      </c>
      <c r="V79" s="717" t="str">
        <f>IF(U79=listas!$C$1,listas!$B$1,IF(U79=listas!$C$2,listas!$B$2,IF(U79=listas!$C$3,listas!$B$3,IF(U79=listas!$C$4,listas!$B$4,IF(U79=listas!$C$5,listas!$B$5,IF(U79=listas!$C$6,listas!$B$6,IF(U79=listas!$C$7,listas!$B$7,IF(U79=listas!$C$8,listas!$B$8,""))))))))</f>
        <v/>
      </c>
      <c r="W79" s="754">
        <v>2915851</v>
      </c>
      <c r="X79" s="754"/>
      <c r="Y79" s="754"/>
      <c r="Z79" s="835">
        <f t="shared" si="28"/>
        <v>2915851</v>
      </c>
      <c r="AA79" s="754">
        <v>2915851</v>
      </c>
      <c r="AB79" s="754"/>
      <c r="AC79" s="754"/>
      <c r="AD79" s="754">
        <f>+AA79+AB79+AC79</f>
        <v>2915851</v>
      </c>
      <c r="AE79" s="775">
        <v>43384</v>
      </c>
      <c r="AF79" s="1128">
        <v>122</v>
      </c>
      <c r="AG79" s="1035" t="s">
        <v>1131</v>
      </c>
      <c r="AH79" s="754"/>
      <c r="AI79" s="754"/>
      <c r="AJ79" s="754"/>
      <c r="AK79" s="754"/>
    </row>
    <row r="80" spans="1:38" ht="17.25" customHeight="1" x14ac:dyDescent="0.2">
      <c r="A80" s="1335"/>
      <c r="B80" s="1335"/>
      <c r="C80" s="1335"/>
      <c r="D80" s="1335"/>
      <c r="E80" s="739"/>
      <c r="F80" s="1327" t="s">
        <v>529</v>
      </c>
      <c r="G80" s="1327"/>
      <c r="H80" s="1327"/>
      <c r="I80" s="1328"/>
      <c r="J80" s="1328"/>
      <c r="K80" s="1328"/>
      <c r="L80" s="1328"/>
      <c r="M80" s="1328"/>
      <c r="N80" s="1328"/>
      <c r="O80" s="1328"/>
      <c r="P80" s="1328"/>
      <c r="Q80" s="1328"/>
      <c r="R80" s="1328"/>
      <c r="S80" s="1328"/>
      <c r="T80" s="1328"/>
      <c r="U80" s="1328"/>
      <c r="V80" s="736"/>
      <c r="W80" s="660">
        <f>SUM(W61:W79)</f>
        <v>275249000</v>
      </c>
      <c r="X80" s="660">
        <f>SUM(X61:X73)</f>
        <v>0</v>
      </c>
      <c r="Y80" s="660"/>
      <c r="Z80" s="660">
        <f t="shared" ref="Z80:Z81" si="29">+W80+X80+Y80</f>
        <v>275249000</v>
      </c>
      <c r="AA80" s="660">
        <f>SUM(AA61:AA79)</f>
        <v>275249000</v>
      </c>
      <c r="AB80" s="660">
        <f>SUM(AB61:AB75)</f>
        <v>0</v>
      </c>
      <c r="AC80" s="660">
        <f>SUM(AC61:AC75)</f>
        <v>0</v>
      </c>
      <c r="AD80" s="660">
        <f>SUM(AD61:AD79)</f>
        <v>275249000</v>
      </c>
      <c r="AE80" s="660"/>
      <c r="AF80" s="660"/>
      <c r="AG80" s="783"/>
      <c r="AH80" s="660">
        <v>268344039</v>
      </c>
      <c r="AI80" s="660">
        <f>SUM(AI61:AI73)</f>
        <v>0</v>
      </c>
      <c r="AJ80" s="660"/>
      <c r="AK80" s="660">
        <f t="shared" ref="AK80:AK81" si="30">+AH80+AI80+AJ80</f>
        <v>268344039</v>
      </c>
      <c r="AL80" s="749"/>
    </row>
    <row r="81" spans="1:39" ht="20.25" customHeight="1" x14ac:dyDescent="0.2">
      <c r="A81" s="959"/>
      <c r="B81" s="1336"/>
      <c r="C81" s="1336"/>
      <c r="D81" s="1336"/>
      <c r="E81" s="1413" t="s">
        <v>532</v>
      </c>
      <c r="F81" s="1413"/>
      <c r="G81" s="1413"/>
      <c r="H81" s="1413"/>
      <c r="I81" s="1413"/>
      <c r="J81" s="1413"/>
      <c r="K81" s="1413"/>
      <c r="L81" s="1413"/>
      <c r="M81" s="1413"/>
      <c r="N81" s="1413"/>
      <c r="O81" s="1413"/>
      <c r="P81" s="1413"/>
      <c r="Q81" s="1413"/>
      <c r="R81" s="1413"/>
      <c r="S81" s="1413"/>
      <c r="T81" s="1413"/>
      <c r="U81" s="1413"/>
      <c r="V81" s="1413"/>
      <c r="W81" s="740">
        <f>+W80</f>
        <v>275249000</v>
      </c>
      <c r="X81" s="661">
        <f t="shared" ref="X81" si="31">+X80</f>
        <v>0</v>
      </c>
      <c r="Y81" s="661"/>
      <c r="Z81" s="661">
        <f t="shared" si="29"/>
        <v>275249000</v>
      </c>
      <c r="AA81" s="740">
        <f>+AA80</f>
        <v>275249000</v>
      </c>
      <c r="AB81" s="661">
        <f t="shared" ref="AB81" si="32">+AB80</f>
        <v>0</v>
      </c>
      <c r="AC81" s="661"/>
      <c r="AD81" s="661">
        <f t="shared" ref="AD81:AD82" si="33">+AA81+AB81+AC81</f>
        <v>275249000</v>
      </c>
      <c r="AE81" s="661"/>
      <c r="AF81" s="740"/>
      <c r="AG81" s="786"/>
      <c r="AH81" s="740">
        <f>+AH80</f>
        <v>268344039</v>
      </c>
      <c r="AI81" s="661">
        <f t="shared" ref="AI81" si="34">+AI80</f>
        <v>0</v>
      </c>
      <c r="AJ81" s="661"/>
      <c r="AK81" s="661">
        <f t="shared" si="30"/>
        <v>268344039</v>
      </c>
      <c r="AM81" s="749"/>
    </row>
    <row r="82" spans="1:39" ht="24" customHeight="1" x14ac:dyDescent="0.2">
      <c r="A82" s="1329" t="s">
        <v>1093</v>
      </c>
      <c r="B82" s="1329"/>
      <c r="C82" s="1329"/>
      <c r="D82" s="1329"/>
      <c r="E82" s="1329"/>
      <c r="F82" s="1329"/>
      <c r="G82" s="1329"/>
      <c r="H82" s="1329"/>
      <c r="I82" s="1329"/>
      <c r="J82" s="1329"/>
      <c r="K82" s="1329"/>
      <c r="L82" s="1329"/>
      <c r="M82" s="1329"/>
      <c r="N82" s="1329"/>
      <c r="O82" s="1329"/>
      <c r="P82" s="1329"/>
      <c r="Q82" s="1329"/>
      <c r="R82" s="1329"/>
      <c r="S82" s="1329"/>
      <c r="T82" s="1329"/>
      <c r="U82" s="1329"/>
      <c r="V82" s="705"/>
      <c r="W82" s="662">
        <f t="shared" ref="W82:AB82" si="35">+W81+W60+W23</f>
        <v>1321781000</v>
      </c>
      <c r="X82" s="662">
        <f t="shared" si="35"/>
        <v>1515881792.0079999</v>
      </c>
      <c r="Y82" s="662">
        <f t="shared" si="35"/>
        <v>0</v>
      </c>
      <c r="Z82" s="662">
        <f t="shared" si="35"/>
        <v>2837662792.0079999</v>
      </c>
      <c r="AA82" s="662">
        <f t="shared" si="35"/>
        <v>1321781000</v>
      </c>
      <c r="AB82" s="662">
        <f t="shared" si="35"/>
        <v>1515881792.0079999</v>
      </c>
      <c r="AC82" s="662"/>
      <c r="AD82" s="662">
        <f t="shared" si="33"/>
        <v>2837662792.0079999</v>
      </c>
      <c r="AE82" s="662"/>
      <c r="AF82" s="662"/>
      <c r="AG82" s="787"/>
      <c r="AH82" s="662">
        <f>+AH23+AH60+AH81</f>
        <v>1267901039</v>
      </c>
      <c r="AI82" s="662">
        <f t="shared" ref="AI82:AK82" si="36">+AI23+AI60+AI81</f>
        <v>1515881792</v>
      </c>
      <c r="AJ82" s="662">
        <f t="shared" si="36"/>
        <v>0</v>
      </c>
      <c r="AK82" s="662">
        <f t="shared" si="36"/>
        <v>2783782831</v>
      </c>
      <c r="AL82" s="749"/>
      <c r="AM82" s="749"/>
    </row>
    <row r="83" spans="1:39" ht="32.25" customHeight="1" x14ac:dyDescent="0.2">
      <c r="A83" s="1362" t="str">
        <f>+E12</f>
        <v>113 Bogotá reconoce a sus maestras, maestros y directivos docentes.</v>
      </c>
      <c r="B83" s="1362" t="s">
        <v>757</v>
      </c>
      <c r="C83" s="1334" t="s">
        <v>758</v>
      </c>
      <c r="D83" s="1334" t="s">
        <v>533</v>
      </c>
      <c r="E83" s="1334" t="s">
        <v>534</v>
      </c>
      <c r="F83" s="1388" t="s">
        <v>573</v>
      </c>
      <c r="G83" s="731">
        <v>79</v>
      </c>
      <c r="H83" s="864">
        <v>196</v>
      </c>
      <c r="I83" s="735" t="s">
        <v>688</v>
      </c>
      <c r="J83" s="704">
        <v>80111621</v>
      </c>
      <c r="K83" s="598" t="s">
        <v>724</v>
      </c>
      <c r="L83" s="726">
        <v>30303</v>
      </c>
      <c r="M83" s="726" t="s">
        <v>790</v>
      </c>
      <c r="N83" s="726" t="s">
        <v>801</v>
      </c>
      <c r="O83" s="726" t="s">
        <v>802</v>
      </c>
      <c r="P83" s="599" t="s">
        <v>594</v>
      </c>
      <c r="Q83" s="605" t="s">
        <v>548</v>
      </c>
      <c r="R83" s="606" t="s">
        <v>548</v>
      </c>
      <c r="S83" s="612">
        <v>9</v>
      </c>
      <c r="T83" s="603">
        <v>1</v>
      </c>
      <c r="U83" s="818" t="s">
        <v>611</v>
      </c>
      <c r="V83" s="717" t="str">
        <f>IF(U83=listas!$C$1,listas!$B$1,IF(U83=listas!$C$2,listas!$B$2,IF(U83=listas!$C$3,listas!$B$3,IF(U83=listas!$C$4,listas!$B$4,IF(U83=listas!$C$5,listas!$B$5,IF(U83=listas!$C$6,listas!$B$6,IF(U83=listas!$C$7,listas!$B$7,IF(U83=listas!$C$8,listas!$B$8,""))))))))</f>
        <v/>
      </c>
      <c r="W83" s="653">
        <v>59850000</v>
      </c>
      <c r="X83" s="653"/>
      <c r="Y83" s="653"/>
      <c r="Z83" s="835">
        <f t="shared" ref="Z83:Z106" si="37">+W83+X83</f>
        <v>59850000</v>
      </c>
      <c r="AA83" s="653">
        <v>59850000</v>
      </c>
      <c r="AB83" s="653"/>
      <c r="AC83" s="653"/>
      <c r="AD83" s="653">
        <f t="shared" ref="AD83" si="38">+AA83+AB83</f>
        <v>59850000</v>
      </c>
      <c r="AE83" s="1130">
        <v>43123</v>
      </c>
      <c r="AF83" s="1128">
        <v>44</v>
      </c>
      <c r="AG83" s="782" t="s">
        <v>894</v>
      </c>
      <c r="AH83" s="653"/>
      <c r="AI83" s="653"/>
      <c r="AJ83" s="653"/>
      <c r="AK83" s="653"/>
      <c r="AL83" s="749"/>
    </row>
    <row r="84" spans="1:39" ht="32.25" customHeight="1" x14ac:dyDescent="0.2">
      <c r="A84" s="1359"/>
      <c r="B84" s="1359"/>
      <c r="C84" s="1335"/>
      <c r="D84" s="1335"/>
      <c r="E84" s="1335"/>
      <c r="F84" s="1389"/>
      <c r="G84" s="731">
        <v>80</v>
      </c>
      <c r="H84" s="864">
        <v>197</v>
      </c>
      <c r="I84" s="735" t="s">
        <v>690</v>
      </c>
      <c r="J84" s="704">
        <v>80111621</v>
      </c>
      <c r="K84" s="598" t="s">
        <v>689</v>
      </c>
      <c r="L84" s="726">
        <v>30303</v>
      </c>
      <c r="M84" s="726" t="s">
        <v>790</v>
      </c>
      <c r="N84" s="726" t="s">
        <v>801</v>
      </c>
      <c r="O84" s="726" t="s">
        <v>802</v>
      </c>
      <c r="P84" s="599" t="s">
        <v>591</v>
      </c>
      <c r="Q84" s="605" t="s">
        <v>548</v>
      </c>
      <c r="R84" s="606" t="s">
        <v>548</v>
      </c>
      <c r="S84" s="612">
        <v>9</v>
      </c>
      <c r="T84" s="603">
        <v>1</v>
      </c>
      <c r="U84" s="818" t="s">
        <v>611</v>
      </c>
      <c r="V84" s="717" t="str">
        <f>IF(U84=listas!$C$1,listas!$B$1,IF(U84=listas!$C$2,listas!$B$2,IF(U84=listas!$C$3,listas!$B$3,IF(U84=listas!$C$4,listas!$B$4,IF(U84=listas!$C$5,listas!$B$5,IF(U84=listas!$C$6,listas!$B$6,IF(U84=listas!$C$7,listas!$B$7,IF(U84=listas!$C$8,listas!$B$8,""))))))))</f>
        <v/>
      </c>
      <c r="W84" s="653">
        <v>40500000</v>
      </c>
      <c r="X84" s="653"/>
      <c r="Y84" s="653"/>
      <c r="Z84" s="835">
        <f t="shared" si="37"/>
        <v>40500000</v>
      </c>
      <c r="AA84" s="653">
        <v>40500000</v>
      </c>
      <c r="AB84" s="653"/>
      <c r="AC84" s="653"/>
      <c r="AD84" s="653">
        <f t="shared" ref="AD84:AD85" si="39">+AA84+AB84</f>
        <v>40500000</v>
      </c>
      <c r="AE84" s="1130">
        <v>43118</v>
      </c>
      <c r="AF84" s="1128">
        <v>23</v>
      </c>
      <c r="AG84" s="782" t="s">
        <v>890</v>
      </c>
      <c r="AH84" s="653"/>
      <c r="AI84" s="653"/>
      <c r="AJ84" s="653"/>
      <c r="AK84" s="653"/>
    </row>
    <row r="85" spans="1:39" ht="34.5" customHeight="1" x14ac:dyDescent="0.2">
      <c r="A85" s="1359"/>
      <c r="B85" s="1359"/>
      <c r="C85" s="1335"/>
      <c r="D85" s="1335"/>
      <c r="E85" s="1335"/>
      <c r="F85" s="1389"/>
      <c r="G85" s="731">
        <v>81</v>
      </c>
      <c r="H85" s="864">
        <v>198</v>
      </c>
      <c r="I85" s="735" t="s">
        <v>691</v>
      </c>
      <c r="J85" s="704">
        <v>80111621</v>
      </c>
      <c r="K85" s="598" t="s">
        <v>724</v>
      </c>
      <c r="L85" s="726">
        <v>30303</v>
      </c>
      <c r="M85" s="726" t="s">
        <v>790</v>
      </c>
      <c r="N85" s="726" t="s">
        <v>801</v>
      </c>
      <c r="O85" s="726" t="s">
        <v>802</v>
      </c>
      <c r="P85" s="599" t="s">
        <v>594</v>
      </c>
      <c r="Q85" s="605" t="s">
        <v>548</v>
      </c>
      <c r="R85" s="606" t="s">
        <v>548</v>
      </c>
      <c r="S85" s="612">
        <v>9</v>
      </c>
      <c r="T85" s="603">
        <v>1</v>
      </c>
      <c r="U85" s="818" t="s">
        <v>611</v>
      </c>
      <c r="V85" s="717" t="str">
        <f>IF(U85=listas!$C$1,listas!$B$1,IF(U85=listas!$C$2,listas!$B$2,IF(U85=listas!$C$3,listas!$B$3,IF(U85=listas!$C$4,listas!$B$4,IF(U85=listas!$C$5,listas!$B$5,IF(U85=listas!$C$6,listas!$B$6,IF(U85=listas!$C$7,listas!$B$7,IF(U85=listas!$C$8,listas!$B$8,""))))))))</f>
        <v/>
      </c>
      <c r="W85" s="653">
        <v>59850000</v>
      </c>
      <c r="X85" s="653"/>
      <c r="Y85" s="653"/>
      <c r="Z85" s="835">
        <f t="shared" si="37"/>
        <v>59850000</v>
      </c>
      <c r="AA85" s="653">
        <v>59850000</v>
      </c>
      <c r="AB85" s="653"/>
      <c r="AC85" s="653"/>
      <c r="AD85" s="653">
        <f t="shared" si="39"/>
        <v>59850000</v>
      </c>
      <c r="AE85" s="1130">
        <v>43123</v>
      </c>
      <c r="AF85" s="1128">
        <v>45</v>
      </c>
      <c r="AG85" s="782" t="s">
        <v>895</v>
      </c>
      <c r="AH85" s="653"/>
      <c r="AI85" s="653"/>
      <c r="AJ85" s="653"/>
      <c r="AK85" s="653"/>
    </row>
    <row r="86" spans="1:39" ht="24.75" customHeight="1" x14ac:dyDescent="0.2">
      <c r="A86" s="1359"/>
      <c r="B86" s="1359"/>
      <c r="C86" s="1335"/>
      <c r="D86" s="1335"/>
      <c r="E86" s="1335"/>
      <c r="F86" s="1389"/>
      <c r="G86" s="731">
        <v>82</v>
      </c>
      <c r="H86" s="864">
        <v>203</v>
      </c>
      <c r="I86" s="735" t="s">
        <v>692</v>
      </c>
      <c r="J86" s="704">
        <v>80111621</v>
      </c>
      <c r="K86" s="598" t="s">
        <v>689</v>
      </c>
      <c r="L86" s="726">
        <v>30303</v>
      </c>
      <c r="M86" s="726" t="s">
        <v>790</v>
      </c>
      <c r="N86" s="726" t="s">
        <v>801</v>
      </c>
      <c r="O86" s="726" t="s">
        <v>802</v>
      </c>
      <c r="P86" s="599" t="s">
        <v>591</v>
      </c>
      <c r="Q86" s="605" t="s">
        <v>548</v>
      </c>
      <c r="R86" s="606" t="s">
        <v>548</v>
      </c>
      <c r="S86" s="612">
        <v>9</v>
      </c>
      <c r="T86" s="603">
        <v>1</v>
      </c>
      <c r="U86" s="818" t="s">
        <v>611</v>
      </c>
      <c r="V86" s="717" t="str">
        <f>IF(U86=listas!$C$1,listas!$B$1,IF(U86=listas!$C$2,listas!$B$2,IF(U86=listas!$C$3,listas!$B$3,IF(U86=listas!$C$4,listas!$B$4,IF(U86=listas!$C$5,listas!$B$5,IF(U86=listas!$C$6,listas!$B$6,IF(U86=listas!$C$7,listas!$B$7,IF(U86=listas!$C$8,listas!$B$8,""))))))))</f>
        <v/>
      </c>
      <c r="W86" s="653">
        <v>40500000</v>
      </c>
      <c r="X86" s="653"/>
      <c r="Y86" s="653"/>
      <c r="Z86" s="835">
        <f t="shared" si="37"/>
        <v>40500000</v>
      </c>
      <c r="AA86" s="653">
        <v>40500000</v>
      </c>
      <c r="AB86" s="653"/>
      <c r="AC86" s="653"/>
      <c r="AD86" s="653">
        <f t="shared" ref="AD86:AD87" si="40">+AA86+AB86</f>
        <v>40500000</v>
      </c>
      <c r="AE86" s="1130">
        <v>43118</v>
      </c>
      <c r="AF86" s="1128">
        <v>24</v>
      </c>
      <c r="AG86" s="782" t="s">
        <v>891</v>
      </c>
      <c r="AH86" s="653"/>
      <c r="AI86" s="653"/>
      <c r="AJ86" s="653"/>
      <c r="AK86" s="653"/>
    </row>
    <row r="87" spans="1:39" ht="32.25" customHeight="1" x14ac:dyDescent="0.2">
      <c r="A87" s="1359"/>
      <c r="B87" s="1359"/>
      <c r="C87" s="1335"/>
      <c r="D87" s="1335"/>
      <c r="E87" s="1335"/>
      <c r="F87" s="1389"/>
      <c r="G87" s="731">
        <v>83</v>
      </c>
      <c r="H87" s="864">
        <v>205</v>
      </c>
      <c r="I87" s="735" t="s">
        <v>693</v>
      </c>
      <c r="J87" s="704">
        <v>80111621</v>
      </c>
      <c r="K87" s="598" t="s">
        <v>724</v>
      </c>
      <c r="L87" s="726">
        <v>30303</v>
      </c>
      <c r="M87" s="726" t="s">
        <v>790</v>
      </c>
      <c r="N87" s="726" t="s">
        <v>801</v>
      </c>
      <c r="O87" s="726" t="s">
        <v>802</v>
      </c>
      <c r="P87" s="599" t="s">
        <v>594</v>
      </c>
      <c r="Q87" s="605" t="s">
        <v>548</v>
      </c>
      <c r="R87" s="606" t="s">
        <v>548</v>
      </c>
      <c r="S87" s="612">
        <v>9</v>
      </c>
      <c r="T87" s="603">
        <v>1</v>
      </c>
      <c r="U87" s="818" t="s">
        <v>611</v>
      </c>
      <c r="V87" s="717" t="str">
        <f>IF(U87=listas!$C$1,listas!$B$1,IF(U87=listas!$C$2,listas!$B$2,IF(U87=listas!$C$3,listas!$B$3,IF(U87=listas!$C$4,listas!$B$4,IF(U87=listas!$C$5,listas!$B$5,IF(U87=listas!$C$6,listas!$B$6,IF(U87=listas!$C$7,listas!$B$7,IF(U87=listas!$C$8,listas!$B$8,""))))))))</f>
        <v/>
      </c>
      <c r="W87" s="653">
        <v>59850000</v>
      </c>
      <c r="X87" s="653"/>
      <c r="Y87" s="653"/>
      <c r="Z87" s="835">
        <f t="shared" si="37"/>
        <v>59850000</v>
      </c>
      <c r="AA87" s="653">
        <v>59850000</v>
      </c>
      <c r="AB87" s="653"/>
      <c r="AC87" s="653"/>
      <c r="AD87" s="653">
        <f t="shared" si="40"/>
        <v>59850000</v>
      </c>
      <c r="AE87" s="1130">
        <v>43123</v>
      </c>
      <c r="AF87" s="1128">
        <v>46</v>
      </c>
      <c r="AG87" s="782" t="s">
        <v>896</v>
      </c>
      <c r="AH87" s="653"/>
      <c r="AI87" s="653"/>
      <c r="AJ87" s="653"/>
      <c r="AK87" s="653"/>
    </row>
    <row r="88" spans="1:39" ht="23.25" customHeight="1" x14ac:dyDescent="0.2">
      <c r="A88" s="1359"/>
      <c r="B88" s="1359"/>
      <c r="C88" s="1335"/>
      <c r="D88" s="1335"/>
      <c r="E88" s="1335"/>
      <c r="F88" s="1389"/>
      <c r="G88" s="731">
        <v>84</v>
      </c>
      <c r="H88" s="864">
        <v>207</v>
      </c>
      <c r="I88" s="735" t="s">
        <v>694</v>
      </c>
      <c r="J88" s="704">
        <v>80111621</v>
      </c>
      <c r="K88" s="598" t="s">
        <v>689</v>
      </c>
      <c r="L88" s="726">
        <v>30303</v>
      </c>
      <c r="M88" s="726" t="s">
        <v>790</v>
      </c>
      <c r="N88" s="726" t="s">
        <v>801</v>
      </c>
      <c r="O88" s="726" t="s">
        <v>802</v>
      </c>
      <c r="P88" s="599" t="s">
        <v>591</v>
      </c>
      <c r="Q88" s="605" t="s">
        <v>548</v>
      </c>
      <c r="R88" s="606" t="s">
        <v>548</v>
      </c>
      <c r="S88" s="612">
        <v>9</v>
      </c>
      <c r="T88" s="603">
        <v>1</v>
      </c>
      <c r="U88" s="818" t="s">
        <v>611</v>
      </c>
      <c r="V88" s="717" t="str">
        <f>IF(U88=listas!$C$1,listas!$B$1,IF(U88=listas!$C$2,listas!$B$2,IF(U88=listas!$C$3,listas!$B$3,IF(U88=listas!$C$4,listas!$B$4,IF(U88=listas!$C$5,listas!$B$5,IF(U88=listas!$C$6,listas!$B$6,IF(U88=listas!$C$7,listas!$B$7,IF(U88=listas!$C$8,listas!$B$8,""))))))))</f>
        <v/>
      </c>
      <c r="W88" s="653">
        <v>40500000</v>
      </c>
      <c r="X88" s="653"/>
      <c r="Y88" s="653"/>
      <c r="Z88" s="835">
        <f t="shared" si="37"/>
        <v>40500000</v>
      </c>
      <c r="AA88" s="653">
        <v>40500000</v>
      </c>
      <c r="AB88" s="653"/>
      <c r="AC88" s="653"/>
      <c r="AD88" s="653">
        <f t="shared" ref="AD88:AD89" si="41">+AA88+AB88</f>
        <v>40500000</v>
      </c>
      <c r="AE88" s="1130" t="s">
        <v>892</v>
      </c>
      <c r="AF88" s="1128">
        <v>25</v>
      </c>
      <c r="AG88" s="782" t="s">
        <v>893</v>
      </c>
      <c r="AH88" s="653"/>
      <c r="AI88" s="653"/>
      <c r="AJ88" s="653"/>
      <c r="AK88" s="653"/>
    </row>
    <row r="89" spans="1:39" ht="37.5" customHeight="1" x14ac:dyDescent="0.2">
      <c r="A89" s="1359"/>
      <c r="B89" s="1359"/>
      <c r="C89" s="1335"/>
      <c r="D89" s="1335"/>
      <c r="E89" s="1335"/>
      <c r="F89" s="1389"/>
      <c r="G89" s="731">
        <v>85</v>
      </c>
      <c r="H89" s="864">
        <v>208</v>
      </c>
      <c r="I89" s="741" t="s">
        <v>695</v>
      </c>
      <c r="J89" s="704">
        <v>80111621</v>
      </c>
      <c r="K89" s="598" t="s">
        <v>724</v>
      </c>
      <c r="L89" s="726">
        <v>30303</v>
      </c>
      <c r="M89" s="726" t="s">
        <v>790</v>
      </c>
      <c r="N89" s="726" t="s">
        <v>801</v>
      </c>
      <c r="O89" s="726" t="s">
        <v>802</v>
      </c>
      <c r="P89" s="599" t="s">
        <v>594</v>
      </c>
      <c r="Q89" s="605" t="s">
        <v>548</v>
      </c>
      <c r="R89" s="606" t="s">
        <v>548</v>
      </c>
      <c r="S89" s="612">
        <v>9.5</v>
      </c>
      <c r="T89" s="603">
        <v>1</v>
      </c>
      <c r="U89" s="818" t="s">
        <v>611</v>
      </c>
      <c r="V89" s="717" t="str">
        <f>IF(U89=listas!$C$1,listas!$B$1,IF(U89=listas!$C$2,listas!$B$2,IF(U89=listas!$C$3,listas!$B$3,IF(U89=listas!$C$4,listas!$B$4,IF(U89=listas!$C$5,listas!$B$5,IF(U89=listas!$C$6,listas!$B$6,IF(U89=listas!$C$7,listas!$B$7,IF(U89=listas!$C$8,listas!$B$8,""))))))))</f>
        <v/>
      </c>
      <c r="W89" s="653">
        <v>76000000</v>
      </c>
      <c r="X89" s="653"/>
      <c r="Y89" s="653"/>
      <c r="Z89" s="835">
        <f t="shared" si="37"/>
        <v>76000000</v>
      </c>
      <c r="AA89" s="653">
        <v>76000000</v>
      </c>
      <c r="AB89" s="653"/>
      <c r="AC89" s="653"/>
      <c r="AD89" s="653">
        <f t="shared" si="41"/>
        <v>76000000</v>
      </c>
      <c r="AE89" s="1130">
        <v>43123</v>
      </c>
      <c r="AF89" s="1128">
        <v>47</v>
      </c>
      <c r="AG89" s="782" t="s">
        <v>897</v>
      </c>
      <c r="AH89" s="653"/>
      <c r="AI89" s="653"/>
      <c r="AJ89" s="653"/>
      <c r="AK89" s="653"/>
    </row>
    <row r="90" spans="1:39" ht="36" customHeight="1" x14ac:dyDescent="0.2">
      <c r="A90" s="1359"/>
      <c r="B90" s="1359"/>
      <c r="C90" s="1335"/>
      <c r="D90" s="1335"/>
      <c r="E90" s="1335"/>
      <c r="F90" s="1389"/>
      <c r="G90" s="731">
        <v>86</v>
      </c>
      <c r="H90" s="864">
        <v>209</v>
      </c>
      <c r="I90" s="741" t="s">
        <v>569</v>
      </c>
      <c r="J90" s="704">
        <v>80111601</v>
      </c>
      <c r="K90" s="598" t="s">
        <v>689</v>
      </c>
      <c r="L90" s="726">
        <v>30303</v>
      </c>
      <c r="M90" s="726" t="s">
        <v>790</v>
      </c>
      <c r="N90" s="709" t="s">
        <v>776</v>
      </c>
      <c r="O90" s="709" t="s">
        <v>813</v>
      </c>
      <c r="P90" s="599" t="s">
        <v>591</v>
      </c>
      <c r="Q90" s="605" t="s">
        <v>548</v>
      </c>
      <c r="R90" s="606" t="s">
        <v>548</v>
      </c>
      <c r="S90" s="612">
        <v>350</v>
      </c>
      <c r="T90" s="603">
        <v>0</v>
      </c>
      <c r="U90" s="818" t="s">
        <v>611</v>
      </c>
      <c r="V90" s="717" t="str">
        <f>IF(U90=listas!$C$1,listas!$B$1,IF(U90=listas!$C$2,listas!$B$2,IF(U90=listas!$C$3,listas!$B$3,IF(U90=listas!$C$4,listas!$B$4,IF(U90=listas!$C$5,listas!$B$5,IF(U90=listas!$C$6,listas!$B$6,IF(U90=listas!$C$7,listas!$B$7,IF(U90=listas!$C$8,listas!$B$8,""))))))))</f>
        <v/>
      </c>
      <c r="W90" s="653">
        <v>44115472</v>
      </c>
      <c r="X90" s="653"/>
      <c r="Y90" s="653"/>
      <c r="Z90" s="835">
        <f t="shared" si="37"/>
        <v>44115472</v>
      </c>
      <c r="AA90" s="653">
        <v>44115472</v>
      </c>
      <c r="AB90" s="653"/>
      <c r="AC90" s="653"/>
      <c r="AD90" s="653">
        <f t="shared" ref="AD90:AD92" si="42">+AA90+AB90</f>
        <v>44115472</v>
      </c>
      <c r="AE90" s="1130">
        <v>43110</v>
      </c>
      <c r="AF90" s="1128">
        <v>4</v>
      </c>
      <c r="AG90" s="782" t="s">
        <v>888</v>
      </c>
      <c r="AH90" s="653"/>
      <c r="AI90" s="653"/>
      <c r="AJ90" s="653"/>
      <c r="AK90" s="653"/>
    </row>
    <row r="91" spans="1:39" ht="66" customHeight="1" x14ac:dyDescent="0.2">
      <c r="A91" s="1359"/>
      <c r="B91" s="1359"/>
      <c r="C91" s="1335"/>
      <c r="D91" s="1335"/>
      <c r="E91" s="1335"/>
      <c r="F91" s="1389"/>
      <c r="G91" s="737">
        <v>48</v>
      </c>
      <c r="H91" s="864">
        <v>215</v>
      </c>
      <c r="I91" s="735" t="s">
        <v>678</v>
      </c>
      <c r="J91" s="709">
        <v>80111621</v>
      </c>
      <c r="K91" s="595" t="s">
        <v>679</v>
      </c>
      <c r="L91" s="726">
        <v>30303</v>
      </c>
      <c r="M91" s="726" t="s">
        <v>790</v>
      </c>
      <c r="N91" s="726" t="s">
        <v>774</v>
      </c>
      <c r="O91" s="726" t="s">
        <v>795</v>
      </c>
      <c r="P91" s="742" t="s">
        <v>589</v>
      </c>
      <c r="Q91" s="605" t="s">
        <v>548</v>
      </c>
      <c r="R91" s="606" t="s">
        <v>548</v>
      </c>
      <c r="S91" s="612">
        <v>11</v>
      </c>
      <c r="T91" s="603">
        <v>1</v>
      </c>
      <c r="U91" s="818" t="s">
        <v>611</v>
      </c>
      <c r="V91" s="717" t="str">
        <f>IF(U91=listas!$C$1,listas!$B$1,IF(U91=listas!$C$2,listas!$B$2,IF(U91=listas!$C$3,listas!$B$3,IF(U91=listas!$C$4,listas!$B$4,IF(U91=listas!$C$5,listas!$B$5,IF(U91=listas!$C$6,listas!$B$6,IF(U91=listas!$C$7,listas!$B$7,IF(U91=listas!$C$8,listas!$B$8,""))))))))</f>
        <v/>
      </c>
      <c r="W91" s="653">
        <v>100381528</v>
      </c>
      <c r="X91" s="653"/>
      <c r="Y91" s="653"/>
      <c r="Z91" s="835">
        <f t="shared" si="37"/>
        <v>100381528</v>
      </c>
      <c r="AA91" s="653">
        <v>100381528</v>
      </c>
      <c r="AB91" s="653"/>
      <c r="AC91" s="653"/>
      <c r="AD91" s="653">
        <f t="shared" si="42"/>
        <v>100381528</v>
      </c>
      <c r="AE91" s="1130">
        <v>43119</v>
      </c>
      <c r="AF91" s="1128">
        <v>31</v>
      </c>
      <c r="AG91" s="782" t="s">
        <v>885</v>
      </c>
      <c r="AH91" s="653"/>
      <c r="AI91" s="653"/>
      <c r="AJ91" s="653"/>
      <c r="AK91" s="653"/>
    </row>
    <row r="92" spans="1:39" ht="41.25" customHeight="1" x14ac:dyDescent="0.2">
      <c r="A92" s="1359"/>
      <c r="B92" s="1359"/>
      <c r="C92" s="1335"/>
      <c r="D92" s="1335"/>
      <c r="E92" s="1335"/>
      <c r="F92" s="1389"/>
      <c r="G92" s="731">
        <v>87</v>
      </c>
      <c r="H92" s="864">
        <v>216</v>
      </c>
      <c r="I92" s="735" t="s">
        <v>696</v>
      </c>
      <c r="J92" s="704">
        <v>80111621</v>
      </c>
      <c r="K92" s="611" t="s">
        <v>683</v>
      </c>
      <c r="L92" s="726">
        <v>30303</v>
      </c>
      <c r="M92" s="726" t="s">
        <v>790</v>
      </c>
      <c r="N92" s="726" t="s">
        <v>801</v>
      </c>
      <c r="O92" s="726" t="s">
        <v>802</v>
      </c>
      <c r="P92" s="599" t="s">
        <v>593</v>
      </c>
      <c r="Q92" s="605" t="s">
        <v>548</v>
      </c>
      <c r="R92" s="606" t="s">
        <v>548</v>
      </c>
      <c r="S92" s="612">
        <v>11</v>
      </c>
      <c r="T92" s="603">
        <v>1</v>
      </c>
      <c r="U92" s="818" t="s">
        <v>611</v>
      </c>
      <c r="V92" s="717" t="str">
        <f>IF(U92=listas!$C$1,listas!$B$1,IF(U92=listas!$C$2,listas!$B$2,IF(U92=listas!$C$3,listas!$B$3,IF(U92=listas!$C$4,listas!$B$4,IF(U92=listas!$C$5,listas!$B$5,IF(U92=listas!$C$6,listas!$B$6,IF(U92=listas!$C$7,listas!$B$7,IF(U92=listas!$C$8,listas!$B$8,""))))))))</f>
        <v/>
      </c>
      <c r="W92" s="653">
        <v>265737528</v>
      </c>
      <c r="X92" s="653"/>
      <c r="Y92" s="653"/>
      <c r="Z92" s="835">
        <f t="shared" si="37"/>
        <v>265737528</v>
      </c>
      <c r="AA92" s="653">
        <v>265737528</v>
      </c>
      <c r="AB92" s="653"/>
      <c r="AC92" s="653"/>
      <c r="AD92" s="653">
        <f t="shared" si="42"/>
        <v>265737528</v>
      </c>
      <c r="AE92" s="1130">
        <v>43126</v>
      </c>
      <c r="AF92" s="1128">
        <v>63</v>
      </c>
      <c r="AG92" s="782" t="s">
        <v>898</v>
      </c>
      <c r="AH92" s="653"/>
      <c r="AI92" s="653"/>
      <c r="AJ92" s="653"/>
      <c r="AK92" s="653"/>
    </row>
    <row r="93" spans="1:39" ht="43.5" customHeight="1" x14ac:dyDescent="0.2">
      <c r="A93" s="1359"/>
      <c r="B93" s="1359"/>
      <c r="C93" s="1335"/>
      <c r="D93" s="1335"/>
      <c r="E93" s="1335"/>
      <c r="F93" s="1389"/>
      <c r="G93" s="731">
        <v>88</v>
      </c>
      <c r="H93" s="864">
        <v>217</v>
      </c>
      <c r="I93" s="741" t="s">
        <v>725</v>
      </c>
      <c r="J93" s="704">
        <v>80111601</v>
      </c>
      <c r="K93" s="598" t="s">
        <v>679</v>
      </c>
      <c r="L93" s="726">
        <v>30303</v>
      </c>
      <c r="M93" s="726" t="s">
        <v>790</v>
      </c>
      <c r="N93" s="726" t="s">
        <v>801</v>
      </c>
      <c r="O93" s="726" t="s">
        <v>802</v>
      </c>
      <c r="P93" s="599" t="s">
        <v>589</v>
      </c>
      <c r="Q93" s="605" t="s">
        <v>548</v>
      </c>
      <c r="R93" s="606" t="s">
        <v>548</v>
      </c>
      <c r="S93" s="612">
        <v>350</v>
      </c>
      <c r="T93" s="603">
        <v>0</v>
      </c>
      <c r="U93" s="818" t="s">
        <v>611</v>
      </c>
      <c r="V93" s="717" t="str">
        <f>IF(U93=listas!$C$1,listas!$B$1,IF(U93=listas!$C$2,listas!$B$2,IF(U93=listas!$C$3,listas!$B$3,IF(U93=listas!$C$4,listas!$B$4,IF(U93=listas!$C$5,listas!$B$5,IF(U93=listas!$C$6,listas!$B$6,IF(U93=listas!$C$7,listas!$B$7,IF(U93=listas!$C$8,listas!$B$8,""))))))))</f>
        <v/>
      </c>
      <c r="W93" s="653">
        <v>44115472</v>
      </c>
      <c r="X93" s="653"/>
      <c r="Y93" s="653"/>
      <c r="Z93" s="835">
        <f t="shared" si="37"/>
        <v>44115472</v>
      </c>
      <c r="AA93" s="653">
        <v>44115472</v>
      </c>
      <c r="AB93" s="653"/>
      <c r="AC93" s="653"/>
      <c r="AD93" s="653">
        <f t="shared" ref="AD93:AD94" si="43">+AA93+AB93</f>
        <v>44115472</v>
      </c>
      <c r="AE93" s="1130">
        <v>43115</v>
      </c>
      <c r="AF93" s="1128">
        <v>11</v>
      </c>
      <c r="AG93" s="782" t="s">
        <v>887</v>
      </c>
      <c r="AH93" s="653"/>
      <c r="AI93" s="653"/>
      <c r="AJ93" s="653"/>
      <c r="AK93" s="653"/>
    </row>
    <row r="94" spans="1:39" ht="53.25" customHeight="1" x14ac:dyDescent="0.2">
      <c r="A94" s="1359"/>
      <c r="B94" s="1359"/>
      <c r="C94" s="1335"/>
      <c r="D94" s="1335"/>
      <c r="E94" s="1335"/>
      <c r="F94" s="1389"/>
      <c r="G94" s="731">
        <v>89</v>
      </c>
      <c r="H94" s="864">
        <v>218</v>
      </c>
      <c r="I94" s="741" t="s">
        <v>726</v>
      </c>
      <c r="J94" s="704">
        <v>80111621</v>
      </c>
      <c r="K94" s="613" t="s">
        <v>683</v>
      </c>
      <c r="L94" s="726">
        <v>30302</v>
      </c>
      <c r="M94" s="726" t="s">
        <v>814</v>
      </c>
      <c r="N94" s="726" t="s">
        <v>801</v>
      </c>
      <c r="O94" s="726" t="s">
        <v>802</v>
      </c>
      <c r="P94" s="599" t="s">
        <v>593</v>
      </c>
      <c r="Q94" s="605" t="s">
        <v>548</v>
      </c>
      <c r="R94" s="606" t="s">
        <v>548</v>
      </c>
      <c r="S94" s="612">
        <v>11</v>
      </c>
      <c r="T94" s="603">
        <v>1</v>
      </c>
      <c r="U94" s="818" t="s">
        <v>611</v>
      </c>
      <c r="V94" s="717" t="str">
        <f>IF(U94=listas!$C$1,listas!$B$1,IF(U94=listas!$C$2,listas!$B$2,IF(U94=listas!$C$3,listas!$B$3,IF(U94=listas!$C$4,listas!$B$4,IF(U94=listas!$C$5,listas!$B$5,IF(U94=listas!$C$6,listas!$B$6,IF(U94=listas!$C$7,listas!$B$7,IF(U94=listas!$C$8,listas!$B$8,""))))))))</f>
        <v/>
      </c>
      <c r="W94" s="653">
        <v>88000000</v>
      </c>
      <c r="X94" s="653"/>
      <c r="Y94" s="653"/>
      <c r="Z94" s="835">
        <f t="shared" si="37"/>
        <v>88000000</v>
      </c>
      <c r="AA94" s="653">
        <v>88000000</v>
      </c>
      <c r="AB94" s="653"/>
      <c r="AC94" s="653"/>
      <c r="AD94" s="653">
        <f t="shared" si="43"/>
        <v>88000000</v>
      </c>
      <c r="AE94" s="1130">
        <v>43117</v>
      </c>
      <c r="AF94" s="1128">
        <v>19</v>
      </c>
      <c r="AG94" s="782" t="s">
        <v>889</v>
      </c>
      <c r="AH94" s="653"/>
      <c r="AI94" s="653"/>
      <c r="AJ94" s="653"/>
      <c r="AK94" s="653"/>
    </row>
    <row r="95" spans="1:39" ht="54" customHeight="1" x14ac:dyDescent="0.2">
      <c r="A95" s="1359"/>
      <c r="B95" s="1359"/>
      <c r="C95" s="1335"/>
      <c r="D95" s="1335"/>
      <c r="E95" s="1335"/>
      <c r="F95" s="1389"/>
      <c r="G95" s="949">
        <v>145</v>
      </c>
      <c r="H95" s="1022">
        <v>219</v>
      </c>
      <c r="I95" s="741" t="s">
        <v>869</v>
      </c>
      <c r="J95" s="709">
        <v>80111621</v>
      </c>
      <c r="K95" s="595" t="s">
        <v>679</v>
      </c>
      <c r="L95" s="709">
        <v>3020417001</v>
      </c>
      <c r="M95" s="709" t="s">
        <v>796</v>
      </c>
      <c r="N95" s="709" t="s">
        <v>797</v>
      </c>
      <c r="O95" s="709" t="s">
        <v>798</v>
      </c>
      <c r="P95" s="742" t="s">
        <v>727</v>
      </c>
      <c r="Q95" s="756" t="s">
        <v>784</v>
      </c>
      <c r="R95" s="757" t="s">
        <v>784</v>
      </c>
      <c r="S95" s="758">
        <v>5</v>
      </c>
      <c r="T95" s="597">
        <v>1</v>
      </c>
      <c r="U95" s="952" t="s">
        <v>611</v>
      </c>
      <c r="V95" s="717" t="str">
        <f>IF(U95=listas!$C$1,listas!$B$1,IF(U95=listas!$C$2,listas!$B$2,IF(U95=listas!$C$3,listas!$B$3,IF(U95=listas!$C$4,listas!$B$4,IF(U95=listas!$C$5,listas!$B$5,IF(U95=listas!$C$6,listas!$B$6,IF(U95=listas!$C$7,listas!$B$7,IF(U95=listas!$C$8,listas!$B$8,""))))))))</f>
        <v/>
      </c>
      <c r="W95" s="754"/>
      <c r="X95" s="754">
        <f>80000000+35000000</f>
        <v>115000000</v>
      </c>
      <c r="Y95" s="754"/>
      <c r="Z95" s="835">
        <f t="shared" si="37"/>
        <v>115000000</v>
      </c>
      <c r="AA95" s="754"/>
      <c r="AB95" s="754">
        <f>80000000+35000000</f>
        <v>115000000</v>
      </c>
      <c r="AC95" s="754"/>
      <c r="AD95" s="754">
        <f t="shared" ref="AD95" si="44">+AA95+AB95</f>
        <v>115000000</v>
      </c>
      <c r="AE95" s="1130">
        <v>43125</v>
      </c>
      <c r="AF95" s="1128">
        <v>59</v>
      </c>
      <c r="AG95" s="784" t="s">
        <v>885</v>
      </c>
      <c r="AH95" s="754"/>
      <c r="AI95" s="754"/>
      <c r="AJ95" s="754"/>
      <c r="AK95" s="754"/>
    </row>
    <row r="96" spans="1:39" ht="41.25" customHeight="1" x14ac:dyDescent="0.2">
      <c r="A96" s="1359"/>
      <c r="B96" s="1359"/>
      <c r="C96" s="1335"/>
      <c r="D96" s="1335"/>
      <c r="E96" s="1335"/>
      <c r="F96" s="1389"/>
      <c r="G96" s="949" t="s">
        <v>1015</v>
      </c>
      <c r="H96" s="1022">
        <v>220</v>
      </c>
      <c r="I96" s="741" t="s">
        <v>728</v>
      </c>
      <c r="J96" s="709">
        <v>80111621</v>
      </c>
      <c r="K96" s="916" t="s">
        <v>682</v>
      </c>
      <c r="L96" s="709">
        <v>3020417001</v>
      </c>
      <c r="M96" s="709" t="s">
        <v>796</v>
      </c>
      <c r="N96" s="709" t="s">
        <v>797</v>
      </c>
      <c r="O96" s="709" t="s">
        <v>798</v>
      </c>
      <c r="P96" s="742" t="s">
        <v>590</v>
      </c>
      <c r="Q96" s="756" t="s">
        <v>358</v>
      </c>
      <c r="R96" s="757" t="s">
        <v>358</v>
      </c>
      <c r="S96" s="758">
        <v>5</v>
      </c>
      <c r="T96" s="597">
        <v>1</v>
      </c>
      <c r="U96" s="952" t="s">
        <v>611</v>
      </c>
      <c r="V96" s="717" t="str">
        <f>IF(U96=listas!$C$1,listas!$B$1,IF(U96=listas!$C$2,listas!$B$2,IF(U96=listas!$C$3,listas!$B$3,IF(U96=listas!$C$4,listas!$B$4,IF(U96=listas!$C$5,listas!$B$5,IF(U96=listas!$C$6,listas!$B$6,IF(U96=listas!$C$7,listas!$B$7,IF(U96=listas!$C$8,listas!$B$8,""))))))))</f>
        <v/>
      </c>
      <c r="W96" s="754"/>
      <c r="X96" s="754">
        <f>70000000-70000000</f>
        <v>0</v>
      </c>
      <c r="Y96" s="754"/>
      <c r="Z96" s="835">
        <f t="shared" si="37"/>
        <v>0</v>
      </c>
      <c r="AA96" s="653"/>
      <c r="AB96" s="653"/>
      <c r="AC96" s="653"/>
      <c r="AD96" s="653"/>
      <c r="AE96" s="1130"/>
      <c r="AF96" s="1128"/>
      <c r="AG96" s="782"/>
      <c r="AH96" s="653"/>
      <c r="AI96" s="653"/>
      <c r="AJ96" s="653"/>
      <c r="AK96" s="653"/>
    </row>
    <row r="97" spans="1:37" ht="36.75" customHeight="1" x14ac:dyDescent="0.2">
      <c r="A97" s="1359"/>
      <c r="B97" s="1359"/>
      <c r="C97" s="1335"/>
      <c r="D97" s="1335"/>
      <c r="E97" s="1335"/>
      <c r="F97" s="1389"/>
      <c r="G97" s="949" t="s">
        <v>1015</v>
      </c>
      <c r="H97" s="1022">
        <v>221</v>
      </c>
      <c r="I97" s="741" t="s">
        <v>729</v>
      </c>
      <c r="J97" s="709">
        <v>80111621</v>
      </c>
      <c r="K97" s="595" t="s">
        <v>679</v>
      </c>
      <c r="L97" s="709">
        <v>3020417001</v>
      </c>
      <c r="M97" s="709" t="s">
        <v>796</v>
      </c>
      <c r="N97" s="709" t="s">
        <v>797</v>
      </c>
      <c r="O97" s="709" t="s">
        <v>798</v>
      </c>
      <c r="P97" s="742" t="s">
        <v>727</v>
      </c>
      <c r="Q97" s="756" t="s">
        <v>358</v>
      </c>
      <c r="R97" s="757" t="s">
        <v>358</v>
      </c>
      <c r="S97" s="758">
        <v>5</v>
      </c>
      <c r="T97" s="597">
        <v>1</v>
      </c>
      <c r="U97" s="952" t="s">
        <v>611</v>
      </c>
      <c r="V97" s="717" t="str">
        <f>IF(U97=listas!$C$1,listas!$B$1,IF(U97=listas!$C$2,listas!$B$2,IF(U97=listas!$C$3,listas!$B$3,IF(U97=listas!$C$4,listas!$B$4,IF(U97=listas!$C$5,listas!$B$5,IF(U97=listas!$C$6,listas!$B$6,IF(U97=listas!$C$7,listas!$B$7,IF(U97=listas!$C$8,listas!$B$8,""))))))))</f>
        <v/>
      </c>
      <c r="W97" s="754"/>
      <c r="X97" s="754">
        <f>156665000-156665000</f>
        <v>0</v>
      </c>
      <c r="Y97" s="754"/>
      <c r="Z97" s="835">
        <f t="shared" si="37"/>
        <v>0</v>
      </c>
      <c r="AA97" s="653"/>
      <c r="AB97" s="653"/>
      <c r="AC97" s="653"/>
      <c r="AD97" s="653"/>
      <c r="AE97" s="1130"/>
      <c r="AF97" s="1128"/>
      <c r="AG97" s="782"/>
      <c r="AH97" s="653"/>
      <c r="AI97" s="653"/>
      <c r="AJ97" s="653"/>
      <c r="AK97" s="653"/>
    </row>
    <row r="98" spans="1:37" ht="42.75" customHeight="1" x14ac:dyDescent="0.2">
      <c r="A98" s="1359"/>
      <c r="B98" s="1359"/>
      <c r="C98" s="1335"/>
      <c r="D98" s="1335"/>
      <c r="E98" s="1335"/>
      <c r="F98" s="1389"/>
      <c r="G98" s="949">
        <v>93</v>
      </c>
      <c r="H98" s="1022">
        <v>315</v>
      </c>
      <c r="I98" s="741" t="s">
        <v>730</v>
      </c>
      <c r="J98" s="709">
        <v>80111621</v>
      </c>
      <c r="K98" s="595" t="s">
        <v>679</v>
      </c>
      <c r="L98" s="709">
        <v>3020417001</v>
      </c>
      <c r="M98" s="709" t="s">
        <v>796</v>
      </c>
      <c r="N98" s="709" t="s">
        <v>797</v>
      </c>
      <c r="O98" s="709" t="s">
        <v>798</v>
      </c>
      <c r="P98" s="742" t="s">
        <v>727</v>
      </c>
      <c r="Q98" s="756" t="s">
        <v>548</v>
      </c>
      <c r="R98" s="757" t="s">
        <v>548</v>
      </c>
      <c r="S98" s="758">
        <v>4</v>
      </c>
      <c r="T98" s="597">
        <v>1</v>
      </c>
      <c r="U98" s="952" t="s">
        <v>611</v>
      </c>
      <c r="V98" s="717" t="str">
        <f>IF(U98=listas!$C$1,listas!$B$1,IF(U98=listas!$C$2,listas!$B$2,IF(U98=listas!$C$3,listas!$B$3,IF(U98=listas!$C$4,listas!$B$4,IF(U98=listas!$C$5,listas!$B$5,IF(U98=listas!$C$6,listas!$B$6,IF(U98=listas!$C$7,listas!$B$7,IF(U98=listas!$C$8,listas!$B$8,""))))))))</f>
        <v/>
      </c>
      <c r="W98" s="754"/>
      <c r="X98" s="754">
        <v>28416860</v>
      </c>
      <c r="Y98" s="754"/>
      <c r="Z98" s="835">
        <f t="shared" si="37"/>
        <v>28416860</v>
      </c>
      <c r="AA98" s="653"/>
      <c r="AB98" s="653">
        <v>28416860</v>
      </c>
      <c r="AC98" s="653"/>
      <c r="AD98" s="653">
        <f t="shared" ref="AD98:AD100" si="45">+AA98+AB98</f>
        <v>28416860</v>
      </c>
      <c r="AE98" s="1130">
        <v>43125</v>
      </c>
      <c r="AF98" s="1128">
        <v>60</v>
      </c>
      <c r="AG98" s="782" t="s">
        <v>914</v>
      </c>
      <c r="AH98" s="653"/>
      <c r="AI98" s="653"/>
      <c r="AJ98" s="653"/>
      <c r="AK98" s="653"/>
    </row>
    <row r="99" spans="1:37" ht="37.5" customHeight="1" x14ac:dyDescent="0.2">
      <c r="A99" s="1359"/>
      <c r="B99" s="1359"/>
      <c r="C99" s="1335"/>
      <c r="D99" s="1335"/>
      <c r="E99" s="1335"/>
      <c r="F99" s="1389"/>
      <c r="G99" s="949">
        <v>94</v>
      </c>
      <c r="H99" s="949">
        <v>331</v>
      </c>
      <c r="I99" s="741" t="s">
        <v>731</v>
      </c>
      <c r="J99" s="709">
        <v>80111601</v>
      </c>
      <c r="K99" s="595" t="s">
        <v>679</v>
      </c>
      <c r="L99" s="709">
        <v>3020417001</v>
      </c>
      <c r="M99" s="709" t="s">
        <v>796</v>
      </c>
      <c r="N99" s="709" t="s">
        <v>797</v>
      </c>
      <c r="O99" s="709" t="s">
        <v>798</v>
      </c>
      <c r="P99" s="742" t="s">
        <v>727</v>
      </c>
      <c r="Q99" s="756" t="s">
        <v>548</v>
      </c>
      <c r="R99" s="757" t="s">
        <v>548</v>
      </c>
      <c r="S99" s="758">
        <v>5</v>
      </c>
      <c r="T99" s="597">
        <v>1</v>
      </c>
      <c r="U99" s="952" t="s">
        <v>611</v>
      </c>
      <c r="V99" s="717" t="str">
        <f>IF(U99=listas!$C$1,listas!$B$1,IF(U99=listas!$C$2,listas!$B$2,IF(U99=listas!$C$3,listas!$B$3,IF(U99=listas!$C$4,listas!$B$4,IF(U99=listas!$C$5,listas!$B$5,IF(U99=listas!$C$6,listas!$B$6,IF(U99=listas!$C$7,listas!$B$7,IF(U99=listas!$C$8,listas!$B$8,""))))))))</f>
        <v/>
      </c>
      <c r="W99" s="754"/>
      <c r="X99" s="754">
        <v>25160760</v>
      </c>
      <c r="Y99" s="754"/>
      <c r="Z99" s="835">
        <f t="shared" si="37"/>
        <v>25160760</v>
      </c>
      <c r="AA99" s="653"/>
      <c r="AB99" s="653">
        <v>25160760</v>
      </c>
      <c r="AC99" s="653"/>
      <c r="AD99" s="653">
        <f t="shared" si="45"/>
        <v>25160760</v>
      </c>
      <c r="AE99" s="1130">
        <v>43123</v>
      </c>
      <c r="AF99" s="1128">
        <v>42</v>
      </c>
      <c r="AG99" s="782" t="s">
        <v>915</v>
      </c>
      <c r="AH99" s="653"/>
      <c r="AI99" s="653"/>
      <c r="AJ99" s="653"/>
      <c r="AK99" s="653"/>
    </row>
    <row r="100" spans="1:37" ht="39.75" customHeight="1" x14ac:dyDescent="0.2">
      <c r="A100" s="1359"/>
      <c r="B100" s="1359"/>
      <c r="C100" s="1335"/>
      <c r="D100" s="1335"/>
      <c r="E100" s="1335"/>
      <c r="F100" s="1389"/>
      <c r="G100" s="949">
        <v>96</v>
      </c>
      <c r="H100" s="949">
        <v>224</v>
      </c>
      <c r="I100" s="741" t="s">
        <v>732</v>
      </c>
      <c r="J100" s="709">
        <v>80111601</v>
      </c>
      <c r="K100" s="595" t="s">
        <v>679</v>
      </c>
      <c r="L100" s="709">
        <v>3020417001</v>
      </c>
      <c r="M100" s="709" t="s">
        <v>796</v>
      </c>
      <c r="N100" s="709" t="s">
        <v>797</v>
      </c>
      <c r="O100" s="709" t="s">
        <v>798</v>
      </c>
      <c r="P100" s="742" t="s">
        <v>727</v>
      </c>
      <c r="Q100" s="756" t="s">
        <v>548</v>
      </c>
      <c r="R100" s="757" t="s">
        <v>548</v>
      </c>
      <c r="S100" s="758">
        <v>5</v>
      </c>
      <c r="T100" s="597">
        <v>1</v>
      </c>
      <c r="U100" s="952" t="s">
        <v>611</v>
      </c>
      <c r="V100" s="717" t="str">
        <f>IF(U100=listas!$C$1,listas!$B$1,IF(U100=listas!$C$2,listas!$B$2,IF(U100=listas!$C$3,listas!$B$3,IF(U100=listas!$C$4,listas!$B$4,IF(U100=listas!$C$5,listas!$B$5,IF(U100=listas!$C$6,listas!$B$6,IF(U100=listas!$C$7,listas!$B$7,IF(U100=listas!$C$8,listas!$B$8,""))))))))</f>
        <v/>
      </c>
      <c r="W100" s="754"/>
      <c r="X100" s="754">
        <v>25160760</v>
      </c>
      <c r="Y100" s="754"/>
      <c r="Z100" s="835">
        <f t="shared" si="37"/>
        <v>25160760</v>
      </c>
      <c r="AA100" s="653"/>
      <c r="AB100" s="653">
        <v>25160760</v>
      </c>
      <c r="AC100" s="653"/>
      <c r="AD100" s="653">
        <f t="shared" si="45"/>
        <v>25160760</v>
      </c>
      <c r="AE100" s="1130">
        <v>43119</v>
      </c>
      <c r="AF100" s="1128">
        <v>32</v>
      </c>
      <c r="AG100" s="782" t="s">
        <v>916</v>
      </c>
      <c r="AH100" s="653"/>
      <c r="AI100" s="653"/>
      <c r="AJ100" s="653"/>
      <c r="AK100" s="653"/>
    </row>
    <row r="101" spans="1:37" ht="27.75" customHeight="1" x14ac:dyDescent="0.2">
      <c r="A101" s="1359"/>
      <c r="B101" s="1359"/>
      <c r="C101" s="1335"/>
      <c r="D101" s="1335"/>
      <c r="E101" s="1335"/>
      <c r="F101" s="1389"/>
      <c r="G101" s="949">
        <v>145</v>
      </c>
      <c r="H101" s="949">
        <v>47</v>
      </c>
      <c r="I101" s="741" t="s">
        <v>869</v>
      </c>
      <c r="J101" s="709">
        <v>80111621</v>
      </c>
      <c r="K101" s="595" t="s">
        <v>689</v>
      </c>
      <c r="L101" s="709">
        <v>3020417001</v>
      </c>
      <c r="M101" s="709" t="s">
        <v>796</v>
      </c>
      <c r="N101" s="709" t="s">
        <v>797</v>
      </c>
      <c r="O101" s="709" t="s">
        <v>798</v>
      </c>
      <c r="P101" s="742" t="s">
        <v>751</v>
      </c>
      <c r="Q101" s="756" t="s">
        <v>548</v>
      </c>
      <c r="R101" s="757" t="s">
        <v>548</v>
      </c>
      <c r="S101" s="758">
        <v>5</v>
      </c>
      <c r="T101" s="597">
        <v>1</v>
      </c>
      <c r="U101" s="952" t="s">
        <v>611</v>
      </c>
      <c r="V101" s="717" t="str">
        <f>IF(U101=listas!$C$1,listas!$B$1,IF(U101=listas!$C$2,listas!$B$2,IF(U101=listas!$C$3,listas!$B$3,IF(U101=listas!$C$4,listas!$B$4,IF(U101=listas!$C$5,listas!$B$5,IF(U101=listas!$C$6,listas!$B$6,IF(U101=listas!$C$7,listas!$B$7,IF(U101=listas!$C$8,listas!$B$8,""))))))))</f>
        <v/>
      </c>
      <c r="W101" s="754"/>
      <c r="X101" s="754">
        <f>136039240-16000000</f>
        <v>120039240</v>
      </c>
      <c r="Y101" s="754"/>
      <c r="Z101" s="835">
        <f t="shared" si="37"/>
        <v>120039240</v>
      </c>
      <c r="AA101" s="754"/>
      <c r="AB101" s="754">
        <v>120039240</v>
      </c>
      <c r="AC101" s="754"/>
      <c r="AD101" s="754">
        <f t="shared" ref="AD101:AD104" si="46">+AA101+AB101</f>
        <v>120039240</v>
      </c>
      <c r="AE101" s="1131">
        <v>43125</v>
      </c>
      <c r="AF101" s="1128">
        <v>59</v>
      </c>
      <c r="AG101" s="784" t="s">
        <v>885</v>
      </c>
      <c r="AH101" s="754"/>
      <c r="AI101" s="754"/>
      <c r="AJ101" s="754"/>
      <c r="AK101" s="754"/>
    </row>
    <row r="102" spans="1:37" ht="33.75" customHeight="1" x14ac:dyDescent="0.2">
      <c r="A102" s="1359"/>
      <c r="B102" s="1359"/>
      <c r="C102" s="1335"/>
      <c r="D102" s="1335"/>
      <c r="E102" s="1335"/>
      <c r="F102" s="1389"/>
      <c r="G102" s="949"/>
      <c r="H102" s="949"/>
      <c r="I102" s="741" t="s">
        <v>1092</v>
      </c>
      <c r="J102" s="1043"/>
      <c r="K102" s="595"/>
      <c r="L102" s="1043"/>
      <c r="M102" s="1043"/>
      <c r="N102" s="1043"/>
      <c r="O102" s="1043"/>
      <c r="P102" s="742"/>
      <c r="Q102" s="756"/>
      <c r="R102" s="757"/>
      <c r="S102" s="758"/>
      <c r="T102" s="597"/>
      <c r="U102" s="1147"/>
      <c r="V102" s="717"/>
      <c r="W102" s="754"/>
      <c r="X102" s="754">
        <v>16000000</v>
      </c>
      <c r="Y102" s="754"/>
      <c r="Z102" s="835">
        <f>+W102+X102+Y102</f>
        <v>16000000</v>
      </c>
      <c r="AA102" s="754"/>
      <c r="AB102" s="754"/>
      <c r="AC102" s="754"/>
      <c r="AD102" s="754"/>
      <c r="AE102" s="1131"/>
      <c r="AF102" s="1128"/>
      <c r="AG102" s="784"/>
      <c r="AH102" s="754"/>
      <c r="AI102" s="754"/>
      <c r="AJ102" s="754"/>
      <c r="AK102" s="754"/>
    </row>
    <row r="103" spans="1:37" ht="62.25" customHeight="1" x14ac:dyDescent="0.2">
      <c r="A103" s="1335" t="str">
        <f t="shared" ref="A103:F103" si="47">+A83</f>
        <v>113 Bogotá reconoce a sus maestras, maestros y directivos docentes.</v>
      </c>
      <c r="B103" s="1335" t="str">
        <f t="shared" si="47"/>
        <v>Código 386 
Tres centros de Innovación que dinamizan las Estrategias y procesos en la Red de Innovación del Maestro</v>
      </c>
      <c r="C103" s="1335" t="str">
        <f t="shared" si="47"/>
        <v>Componente N° 2: Estrategia de Cualificación investigación e innovación docente: Comunidades de saber y de práctica pedagógica</v>
      </c>
      <c r="D103" s="1335" t="str">
        <f t="shared" si="47"/>
        <v>Realizar cinco (5) estudios de la Estrategia de cualificación, investigación e innovación docente: comunidades de saber y de práctica pedagógica"</v>
      </c>
      <c r="E103" s="1335" t="str">
        <f t="shared" si="47"/>
        <v xml:space="preserve"> Realizar un (1) estudio de la  Estrategia de cualificación, investigación e innovación docente: comunidades de saber y de práctica pedagógica</v>
      </c>
      <c r="F103" s="1389" t="str">
        <f t="shared" si="47"/>
        <v>Programa de pensamiento crítico para la innovación e investigación educativa</v>
      </c>
      <c r="G103" s="921">
        <v>178</v>
      </c>
      <c r="H103" s="921">
        <v>41</v>
      </c>
      <c r="I103" s="741" t="s">
        <v>1049</v>
      </c>
      <c r="J103" s="709">
        <v>80111601</v>
      </c>
      <c r="K103" s="595" t="s">
        <v>1019</v>
      </c>
      <c r="L103" s="709">
        <v>302018001</v>
      </c>
      <c r="M103" s="931" t="s">
        <v>1030</v>
      </c>
      <c r="N103" s="709" t="s">
        <v>1056</v>
      </c>
      <c r="O103" s="709" t="s">
        <v>1054</v>
      </c>
      <c r="P103" s="742" t="s">
        <v>727</v>
      </c>
      <c r="Q103" s="756" t="s">
        <v>101</v>
      </c>
      <c r="R103" s="757" t="s">
        <v>101</v>
      </c>
      <c r="S103" s="932">
        <v>4</v>
      </c>
      <c r="T103" s="597">
        <v>1</v>
      </c>
      <c r="U103" s="923" t="s">
        <v>611</v>
      </c>
      <c r="V103" s="716" t="str">
        <f>IF(U103=listas!$C$1,listas!$B$1,IF(U103=listas!$C$2,listas!$B$2,IF(U103=listas!$C$3,listas!$B$3,IF(U103=listas!$C$4,listas!$B$4,IF(U103=listas!$C$5,listas!$B$5,IF(U103=listas!$C$6,listas!$B$6,IF(U103=listas!$C$7,listas!$B$7,IF(U103=listas!$C$8,listas!$B$8,""))))))))</f>
        <v/>
      </c>
      <c r="W103" s="754"/>
      <c r="X103" s="754">
        <f>25160760</f>
        <v>25160760</v>
      </c>
      <c r="Y103" s="754"/>
      <c r="Z103" s="835">
        <f t="shared" si="37"/>
        <v>25160760</v>
      </c>
      <c r="AA103" s="754"/>
      <c r="AB103" s="754">
        <v>25160760</v>
      </c>
      <c r="AC103" s="754"/>
      <c r="AD103" s="754">
        <f t="shared" si="46"/>
        <v>25160760</v>
      </c>
      <c r="AE103" s="1130">
        <v>43325</v>
      </c>
      <c r="AF103" s="1128">
        <v>95</v>
      </c>
      <c r="AG103" s="784" t="s">
        <v>1070</v>
      </c>
      <c r="AH103" s="754"/>
      <c r="AI103" s="754"/>
      <c r="AJ103" s="754"/>
      <c r="AK103" s="754"/>
    </row>
    <row r="104" spans="1:37" ht="60" customHeight="1" x14ac:dyDescent="0.2">
      <c r="A104" s="1335"/>
      <c r="B104" s="1335"/>
      <c r="C104" s="1335"/>
      <c r="D104" s="1335"/>
      <c r="E104" s="1335"/>
      <c r="F104" s="1389"/>
      <c r="G104" s="921">
        <v>184</v>
      </c>
      <c r="H104" s="874">
        <v>44</v>
      </c>
      <c r="I104" s="741" t="s">
        <v>1016</v>
      </c>
      <c r="J104" s="709">
        <v>80111621</v>
      </c>
      <c r="K104" s="595" t="s">
        <v>679</v>
      </c>
      <c r="L104" s="709">
        <v>302018001</v>
      </c>
      <c r="M104" s="925" t="s">
        <v>1030</v>
      </c>
      <c r="N104" s="709" t="s">
        <v>1057</v>
      </c>
      <c r="O104" s="709" t="s">
        <v>1054</v>
      </c>
      <c r="P104" s="742" t="s">
        <v>727</v>
      </c>
      <c r="Q104" s="756" t="s">
        <v>101</v>
      </c>
      <c r="R104" s="757" t="s">
        <v>101</v>
      </c>
      <c r="S104" s="932">
        <v>110</v>
      </c>
      <c r="T104" s="597">
        <v>0</v>
      </c>
      <c r="U104" s="923" t="s">
        <v>611</v>
      </c>
      <c r="V104" s="717" t="str">
        <f>IF(U104=listas!$C$1,listas!$B$1,IF(U104=listas!$C$2,listas!$B$2,IF(U104=listas!$C$3,listas!$B$3,IF(U104=listas!$C$4,listas!$B$4,IF(U104=listas!$C$5,listas!$B$5,IF(U104=listas!$C$6,listas!$B$6,IF(U104=listas!$C$7,listas!$B$7,IF(U104=listas!$C$8,listas!$B$8,""))))))))</f>
        <v/>
      </c>
      <c r="W104" s="754"/>
      <c r="X104" s="754">
        <f>40000000-10264140+361904380+21012643</f>
        <v>412652883</v>
      </c>
      <c r="Y104" s="754"/>
      <c r="Z104" s="835">
        <f t="shared" si="37"/>
        <v>412652883</v>
      </c>
      <c r="AA104" s="754"/>
      <c r="AB104" s="754">
        <v>412652883</v>
      </c>
      <c r="AC104" s="754"/>
      <c r="AD104" s="754">
        <f t="shared" si="46"/>
        <v>412652883</v>
      </c>
      <c r="AE104" s="1130">
        <v>43336</v>
      </c>
      <c r="AF104" s="1128">
        <v>110</v>
      </c>
      <c r="AG104" s="784" t="s">
        <v>1088</v>
      </c>
      <c r="AH104" s="754"/>
      <c r="AI104" s="754"/>
      <c r="AJ104" s="754"/>
      <c r="AK104" s="754"/>
    </row>
    <row r="105" spans="1:37" ht="78.75" customHeight="1" x14ac:dyDescent="0.2">
      <c r="A105" s="1335"/>
      <c r="B105" s="1335"/>
      <c r="C105" s="1335"/>
      <c r="D105" s="1335"/>
      <c r="E105" s="1335"/>
      <c r="F105" s="1389"/>
      <c r="G105" s="921">
        <v>185</v>
      </c>
      <c r="H105" s="874"/>
      <c r="I105" s="741" t="s">
        <v>1017</v>
      </c>
      <c r="J105" s="709">
        <v>80111621</v>
      </c>
      <c r="K105" s="595" t="s">
        <v>682</v>
      </c>
      <c r="L105" s="709">
        <v>302018001</v>
      </c>
      <c r="M105" s="925" t="s">
        <v>1030</v>
      </c>
      <c r="N105" s="709" t="s">
        <v>1057</v>
      </c>
      <c r="O105" s="709" t="s">
        <v>1054</v>
      </c>
      <c r="P105" s="816" t="s">
        <v>590</v>
      </c>
      <c r="Q105" s="756" t="s">
        <v>101</v>
      </c>
      <c r="R105" s="757" t="s">
        <v>101</v>
      </c>
      <c r="S105" s="932">
        <v>110</v>
      </c>
      <c r="T105" s="597">
        <v>0</v>
      </c>
      <c r="U105" s="923" t="s">
        <v>611</v>
      </c>
      <c r="V105" s="717" t="str">
        <f>IF(U105=listas!$C$1,listas!$B$1,IF(U105=listas!$C$2,listas!$B$2,IF(U105=listas!$C$3,listas!$B$3,IF(U105=listas!$C$4,listas!$B$4,IF(U105=listas!$C$5,listas!$B$5,IF(U105=listas!$C$6,listas!$B$6,IF(U105=listas!$C$7,listas!$B$7,IF(U105=listas!$C$8,listas!$B$8,""))))))))</f>
        <v/>
      </c>
      <c r="W105" s="754"/>
      <c r="X105" s="754">
        <f>226665000+105000000</f>
        <v>331665000</v>
      </c>
      <c r="Y105" s="754"/>
      <c r="Z105" s="835">
        <f>+W105+X105+Y105</f>
        <v>331665000</v>
      </c>
      <c r="AA105" s="918"/>
      <c r="AB105" s="754">
        <v>331665000</v>
      </c>
      <c r="AC105" s="918"/>
      <c r="AD105" s="754">
        <f>+AA105+AB105+AC105</f>
        <v>331665000</v>
      </c>
      <c r="AE105" s="1130" t="s">
        <v>1090</v>
      </c>
      <c r="AF105" s="1128">
        <v>111</v>
      </c>
      <c r="AG105" s="784" t="s">
        <v>1091</v>
      </c>
      <c r="AH105" s="754"/>
      <c r="AI105" s="754"/>
      <c r="AJ105" s="754"/>
      <c r="AK105" s="754"/>
    </row>
    <row r="106" spans="1:37" ht="63.75" customHeight="1" x14ac:dyDescent="0.2">
      <c r="A106" s="1335"/>
      <c r="B106" s="1335"/>
      <c r="C106" s="1335"/>
      <c r="D106" s="1335"/>
      <c r="E106" s="1335"/>
      <c r="F106" s="1389"/>
      <c r="G106" s="921">
        <v>177</v>
      </c>
      <c r="H106" s="874">
        <v>45</v>
      </c>
      <c r="I106" s="735" t="s">
        <v>1018</v>
      </c>
      <c r="J106" s="709">
        <v>80111601</v>
      </c>
      <c r="K106" s="595" t="s">
        <v>1019</v>
      </c>
      <c r="L106" s="709">
        <v>302018001</v>
      </c>
      <c r="M106" s="925" t="s">
        <v>1030</v>
      </c>
      <c r="N106" s="709" t="s">
        <v>1057</v>
      </c>
      <c r="O106" s="709" t="s">
        <v>1054</v>
      </c>
      <c r="P106" s="742"/>
      <c r="Q106" s="756" t="s">
        <v>101</v>
      </c>
      <c r="R106" s="757" t="s">
        <v>101</v>
      </c>
      <c r="S106" s="932">
        <v>4</v>
      </c>
      <c r="T106" s="597">
        <v>1</v>
      </c>
      <c r="U106" s="923" t="s">
        <v>611</v>
      </c>
      <c r="V106" s="717" t="str">
        <f>IF(U106=listas!$C$1,listas!$B$1,IF(U106=listas!$C$2,listas!$B$2,IF(U106=listas!$C$3,listas!$B$3,IF(U106=listas!$C$4,listas!$B$4,IF(U106=listas!$C$5,listas!$B$5,IF(U106=listas!$C$6,listas!$B$6,IF(U106=listas!$C$7,listas!$B$7,IF(U106=listas!$C$8,listas!$B$8,""))))))))</f>
        <v/>
      </c>
      <c r="W106" s="754"/>
      <c r="X106" s="754">
        <f>25160760</f>
        <v>25160760</v>
      </c>
      <c r="Y106" s="754"/>
      <c r="Z106" s="835">
        <f t="shared" si="37"/>
        <v>25160760</v>
      </c>
      <c r="AA106" s="653"/>
      <c r="AB106" s="653">
        <v>25160760</v>
      </c>
      <c r="AC106" s="653"/>
      <c r="AD106" s="653">
        <f>+AA106+AB106+AC106</f>
        <v>25160760</v>
      </c>
      <c r="AE106" s="1130">
        <v>43325</v>
      </c>
      <c r="AF106" s="1128">
        <v>94</v>
      </c>
      <c r="AG106" s="782" t="s">
        <v>1071</v>
      </c>
      <c r="AH106" s="653"/>
      <c r="AI106" s="653"/>
      <c r="AJ106" s="653"/>
      <c r="AK106" s="653"/>
    </row>
    <row r="107" spans="1:37" ht="72" customHeight="1" x14ac:dyDescent="0.2">
      <c r="A107" s="1335"/>
      <c r="B107" s="1335"/>
      <c r="C107" s="1335"/>
      <c r="D107" s="1335"/>
      <c r="E107" s="1335"/>
      <c r="F107" s="1389"/>
      <c r="G107" s="921">
        <v>112</v>
      </c>
      <c r="H107" s="874"/>
      <c r="I107" s="735" t="s">
        <v>1009</v>
      </c>
      <c r="J107" s="709">
        <v>80111621</v>
      </c>
      <c r="K107" s="595" t="s">
        <v>677</v>
      </c>
      <c r="L107" s="709">
        <v>302018001</v>
      </c>
      <c r="M107" s="925" t="s">
        <v>1030</v>
      </c>
      <c r="N107" s="709" t="s">
        <v>1057</v>
      </c>
      <c r="O107" s="709" t="s">
        <v>1058</v>
      </c>
      <c r="P107" s="742"/>
      <c r="Q107" s="756" t="s">
        <v>101</v>
      </c>
      <c r="R107" s="757" t="s">
        <v>101</v>
      </c>
      <c r="S107" s="932">
        <v>4</v>
      </c>
      <c r="T107" s="597">
        <v>1</v>
      </c>
      <c r="U107" s="923" t="s">
        <v>611</v>
      </c>
      <c r="V107" s="717" t="str">
        <f>IF(U107=listas!$C$1,listas!$B$1,IF(U107=listas!$C$2,listas!$B$2,IF(U107=listas!$C$3,listas!$B$3,IF(U107=listas!$C$4,listas!$B$4,IF(U107=listas!$C$5,listas!$B$5,IF(U107=listas!$C$6,listas!$B$6,IF(U107=listas!$C$7,listas!$B$7,IF(U107=listas!$C$8,listas!$B$8,""))))))))</f>
        <v/>
      </c>
      <c r="W107" s="754"/>
      <c r="X107" s="754">
        <v>23500000</v>
      </c>
      <c r="Y107" s="754"/>
      <c r="Z107" s="835">
        <f>+X107+Y107</f>
        <v>23500000</v>
      </c>
      <c r="AA107" s="653"/>
      <c r="AB107" s="653">
        <v>23500000</v>
      </c>
      <c r="AC107" s="653"/>
      <c r="AD107" s="653">
        <v>23500000</v>
      </c>
      <c r="AE107" s="1130">
        <v>43328</v>
      </c>
      <c r="AF107" s="1128">
        <v>107</v>
      </c>
      <c r="AG107" s="782" t="s">
        <v>1066</v>
      </c>
      <c r="AH107" s="653"/>
      <c r="AI107" s="653"/>
      <c r="AJ107" s="653"/>
      <c r="AK107" s="653"/>
    </row>
    <row r="108" spans="1:37" ht="72" customHeight="1" x14ac:dyDescent="0.2">
      <c r="A108" s="1335"/>
      <c r="B108" s="1335"/>
      <c r="C108" s="1335"/>
      <c r="D108" s="1335"/>
      <c r="E108" s="1335"/>
      <c r="F108" s="1389"/>
      <c r="G108" s="921">
        <v>180</v>
      </c>
      <c r="H108" s="874"/>
      <c r="I108" s="735" t="s">
        <v>1024</v>
      </c>
      <c r="J108" s="925">
        <v>80111621</v>
      </c>
      <c r="K108" s="925" t="s">
        <v>1029</v>
      </c>
      <c r="L108" s="709">
        <v>302018001</v>
      </c>
      <c r="M108" s="925" t="s">
        <v>1030</v>
      </c>
      <c r="N108" s="709" t="s">
        <v>1057</v>
      </c>
      <c r="O108" s="709" t="s">
        <v>1058</v>
      </c>
      <c r="P108" s="816" t="s">
        <v>751</v>
      </c>
      <c r="Q108" s="756" t="s">
        <v>101</v>
      </c>
      <c r="R108" s="757" t="s">
        <v>101</v>
      </c>
      <c r="S108" s="925">
        <v>4</v>
      </c>
      <c r="T108" s="925">
        <v>1</v>
      </c>
      <c r="U108" s="925" t="s">
        <v>1032</v>
      </c>
      <c r="V108" s="934" t="s">
        <v>595</v>
      </c>
      <c r="W108" s="754"/>
      <c r="X108" s="754">
        <v>25000000</v>
      </c>
      <c r="Y108" s="754"/>
      <c r="Z108" s="835">
        <f>+X108+W108+Y108</f>
        <v>25000000</v>
      </c>
      <c r="AA108" s="653"/>
      <c r="AB108" s="653">
        <v>25000000</v>
      </c>
      <c r="AC108" s="653"/>
      <c r="AD108" s="653">
        <f t="shared" ref="AD108:AD113" si="48">+AA108+AB108+AC108</f>
        <v>25000000</v>
      </c>
      <c r="AE108" s="1130">
        <v>43327</v>
      </c>
      <c r="AF108" s="1128">
        <v>102</v>
      </c>
      <c r="AG108" s="782" t="s">
        <v>1072</v>
      </c>
      <c r="AH108" s="653"/>
      <c r="AI108" s="653"/>
      <c r="AJ108" s="653"/>
      <c r="AK108" s="653"/>
    </row>
    <row r="109" spans="1:37" ht="30" customHeight="1" x14ac:dyDescent="0.2">
      <c r="A109" s="1335"/>
      <c r="B109" s="1335"/>
      <c r="C109" s="1335"/>
      <c r="D109" s="1335"/>
      <c r="E109" s="1335"/>
      <c r="F109" s="1389"/>
      <c r="G109" s="921">
        <v>181</v>
      </c>
      <c r="H109" s="874"/>
      <c r="I109" s="735" t="s">
        <v>1059</v>
      </c>
      <c r="J109" s="925">
        <v>80111621</v>
      </c>
      <c r="K109" s="925" t="s">
        <v>1029</v>
      </c>
      <c r="L109" s="709">
        <v>302018001</v>
      </c>
      <c r="M109" s="925" t="s">
        <v>1030</v>
      </c>
      <c r="N109" s="709" t="s">
        <v>1057</v>
      </c>
      <c r="O109" s="709" t="s">
        <v>1058</v>
      </c>
      <c r="P109" s="816" t="s">
        <v>751</v>
      </c>
      <c r="Q109" s="756" t="s">
        <v>101</v>
      </c>
      <c r="R109" s="757" t="s">
        <v>101</v>
      </c>
      <c r="S109" s="925">
        <v>4</v>
      </c>
      <c r="T109" s="925">
        <v>1</v>
      </c>
      <c r="U109" s="925" t="s">
        <v>611</v>
      </c>
      <c r="V109" s="934" t="s">
        <v>595</v>
      </c>
      <c r="W109" s="754"/>
      <c r="X109" s="754">
        <v>20000000</v>
      </c>
      <c r="Y109" s="754"/>
      <c r="Z109" s="835">
        <f>+W109+X109+Y109</f>
        <v>20000000</v>
      </c>
      <c r="AA109" s="653"/>
      <c r="AB109" s="653">
        <v>20000000</v>
      </c>
      <c r="AC109" s="653"/>
      <c r="AD109" s="653">
        <f t="shared" si="48"/>
        <v>20000000</v>
      </c>
      <c r="AE109" s="1130">
        <v>43329</v>
      </c>
      <c r="AF109" s="1128">
        <v>108</v>
      </c>
      <c r="AG109" s="782" t="s">
        <v>1082</v>
      </c>
      <c r="AH109" s="653"/>
      <c r="AI109" s="653"/>
      <c r="AJ109" s="653"/>
      <c r="AK109" s="653"/>
    </row>
    <row r="110" spans="1:37" ht="43.5" customHeight="1" x14ac:dyDescent="0.2">
      <c r="A110" s="1335"/>
      <c r="B110" s="1335"/>
      <c r="C110" s="1335"/>
      <c r="D110" s="1335"/>
      <c r="E110" s="1335"/>
      <c r="F110" s="1389"/>
      <c r="G110" s="921">
        <v>182</v>
      </c>
      <c r="H110" s="874"/>
      <c r="I110" s="735" t="s">
        <v>1025</v>
      </c>
      <c r="J110" s="925">
        <v>80111621</v>
      </c>
      <c r="K110" s="925" t="s">
        <v>1029</v>
      </c>
      <c r="L110" s="709">
        <v>302018001</v>
      </c>
      <c r="M110" s="925" t="s">
        <v>1030</v>
      </c>
      <c r="N110" s="709" t="s">
        <v>1057</v>
      </c>
      <c r="O110" s="709" t="s">
        <v>1058</v>
      </c>
      <c r="P110" s="816" t="s">
        <v>751</v>
      </c>
      <c r="Q110" s="756" t="s">
        <v>550</v>
      </c>
      <c r="R110" s="757" t="s">
        <v>550</v>
      </c>
      <c r="S110" s="925">
        <v>3</v>
      </c>
      <c r="T110" s="925">
        <v>1</v>
      </c>
      <c r="U110" s="925" t="s">
        <v>1032</v>
      </c>
      <c r="V110" s="925" t="s">
        <v>595</v>
      </c>
      <c r="W110" s="754"/>
      <c r="X110" s="754">
        <v>24581322</v>
      </c>
      <c r="Y110" s="754"/>
      <c r="Z110" s="835">
        <f>+X110+Y110</f>
        <v>24581322</v>
      </c>
      <c r="AA110" s="653"/>
      <c r="AB110" s="653">
        <v>24581322</v>
      </c>
      <c r="AC110" s="653"/>
      <c r="AD110" s="653">
        <f t="shared" si="48"/>
        <v>24581322</v>
      </c>
      <c r="AE110" s="1130">
        <v>43364</v>
      </c>
      <c r="AF110" s="1128">
        <v>119</v>
      </c>
      <c r="AG110" s="782" t="s">
        <v>1117</v>
      </c>
      <c r="AH110" s="653"/>
      <c r="AI110" s="653"/>
      <c r="AJ110" s="653"/>
      <c r="AK110" s="653"/>
    </row>
    <row r="111" spans="1:37" ht="37.5" customHeight="1" x14ac:dyDescent="0.2">
      <c r="A111" s="1335"/>
      <c r="B111" s="1335"/>
      <c r="C111" s="1335"/>
      <c r="D111" s="1335"/>
      <c r="E111" s="1335"/>
      <c r="F111" s="1389"/>
      <c r="G111" s="921">
        <v>183</v>
      </c>
      <c r="H111" s="874"/>
      <c r="I111" s="735" t="s">
        <v>1028</v>
      </c>
      <c r="J111" s="925">
        <v>80111621</v>
      </c>
      <c r="K111" s="925" t="s">
        <v>1029</v>
      </c>
      <c r="L111" s="709">
        <v>302018001</v>
      </c>
      <c r="M111" s="925" t="s">
        <v>1030</v>
      </c>
      <c r="N111" s="709" t="s">
        <v>1057</v>
      </c>
      <c r="O111" s="709" t="s">
        <v>1058</v>
      </c>
      <c r="P111" s="742"/>
      <c r="Q111" s="934" t="s">
        <v>550</v>
      </c>
      <c r="R111" s="934" t="s">
        <v>550</v>
      </c>
      <c r="S111" s="925">
        <v>3</v>
      </c>
      <c r="T111" s="925">
        <v>1</v>
      </c>
      <c r="U111" s="925" t="s">
        <v>1032</v>
      </c>
      <c r="V111" s="925" t="s">
        <v>595</v>
      </c>
      <c r="W111" s="754"/>
      <c r="X111" s="754">
        <v>24581322</v>
      </c>
      <c r="Y111" s="754"/>
      <c r="Z111" s="835">
        <f>+W111+X111+Y111</f>
        <v>24581322</v>
      </c>
      <c r="AA111" s="653"/>
      <c r="AB111" s="653">
        <v>24581322</v>
      </c>
      <c r="AC111" s="653"/>
      <c r="AD111" s="653">
        <f t="shared" si="48"/>
        <v>24581322</v>
      </c>
      <c r="AE111" s="1130">
        <v>43367</v>
      </c>
      <c r="AF111" s="1128">
        <v>118</v>
      </c>
      <c r="AG111" s="782" t="s">
        <v>1116</v>
      </c>
      <c r="AH111" s="653"/>
      <c r="AI111" s="653"/>
      <c r="AJ111" s="653"/>
      <c r="AK111" s="653"/>
    </row>
    <row r="112" spans="1:37" ht="25.5" customHeight="1" x14ac:dyDescent="0.2">
      <c r="A112" s="1335"/>
      <c r="B112" s="1335"/>
      <c r="C112" s="1335"/>
      <c r="D112" s="1335"/>
      <c r="E112" s="1335"/>
      <c r="F112" s="1389"/>
      <c r="G112" s="921">
        <v>176</v>
      </c>
      <c r="H112" s="874"/>
      <c r="I112" s="735" t="s">
        <v>1027</v>
      </c>
      <c r="J112" s="925">
        <v>80111621</v>
      </c>
      <c r="K112" s="925" t="s">
        <v>1029</v>
      </c>
      <c r="L112" s="709">
        <v>302018001</v>
      </c>
      <c r="M112" s="925" t="s">
        <v>1030</v>
      </c>
      <c r="N112" s="709" t="s">
        <v>1057</v>
      </c>
      <c r="O112" s="709" t="s">
        <v>1058</v>
      </c>
      <c r="P112" s="742"/>
      <c r="Q112" s="934" t="s">
        <v>101</v>
      </c>
      <c r="R112" s="934" t="s">
        <v>101</v>
      </c>
      <c r="S112" s="925">
        <v>4</v>
      </c>
      <c r="T112" s="925">
        <v>1</v>
      </c>
      <c r="U112" s="925" t="s">
        <v>1032</v>
      </c>
      <c r="V112" s="934" t="s">
        <v>595</v>
      </c>
      <c r="W112" s="754"/>
      <c r="X112" s="754">
        <v>19378668</v>
      </c>
      <c r="Y112" s="754"/>
      <c r="Z112" s="835">
        <f>+W112+X112+Y112</f>
        <v>19378668</v>
      </c>
      <c r="AA112" s="653"/>
      <c r="AB112" s="653">
        <v>19378668</v>
      </c>
      <c r="AC112" s="653"/>
      <c r="AD112" s="653">
        <f t="shared" si="48"/>
        <v>19378668</v>
      </c>
      <c r="AE112" s="1130">
        <v>43327</v>
      </c>
      <c r="AF112" s="1128">
        <v>100</v>
      </c>
      <c r="AG112" s="782" t="s">
        <v>1081</v>
      </c>
      <c r="AH112" s="653"/>
      <c r="AI112" s="653"/>
      <c r="AJ112" s="653"/>
      <c r="AK112" s="653"/>
    </row>
    <row r="113" spans="1:40" ht="47.25" customHeight="1" x14ac:dyDescent="0.2">
      <c r="A113" s="1335"/>
      <c r="B113" s="1335"/>
      <c r="C113" s="1335"/>
      <c r="D113" s="1335"/>
      <c r="E113" s="1335"/>
      <c r="F113" s="1400"/>
      <c r="G113" s="921">
        <v>179</v>
      </c>
      <c r="H113" s="874"/>
      <c r="I113" s="735" t="s">
        <v>1026</v>
      </c>
      <c r="J113" s="925">
        <v>80111621</v>
      </c>
      <c r="K113" s="925" t="s">
        <v>1033</v>
      </c>
      <c r="L113" s="709">
        <v>302018001</v>
      </c>
      <c r="M113" s="925" t="s">
        <v>1030</v>
      </c>
      <c r="N113" s="709" t="s">
        <v>1057</v>
      </c>
      <c r="O113" s="709" t="s">
        <v>1058</v>
      </c>
      <c r="P113" s="742"/>
      <c r="Q113" s="934" t="s">
        <v>101</v>
      </c>
      <c r="R113" s="934" t="s">
        <v>101</v>
      </c>
      <c r="S113" s="925">
        <v>110</v>
      </c>
      <c r="T113" s="925">
        <v>0</v>
      </c>
      <c r="U113" s="925" t="s">
        <v>1032</v>
      </c>
      <c r="V113" s="934" t="s">
        <v>595</v>
      </c>
      <c r="W113" s="754"/>
      <c r="X113" s="754">
        <f>235000000-21012643</f>
        <v>213987357</v>
      </c>
      <c r="Y113" s="754"/>
      <c r="Z113" s="835">
        <f>+W113+X113+Y113</f>
        <v>213987357</v>
      </c>
      <c r="AA113" s="653"/>
      <c r="AB113" s="653">
        <v>213987357</v>
      </c>
      <c r="AC113" s="653"/>
      <c r="AD113" s="653">
        <f t="shared" si="48"/>
        <v>213987357</v>
      </c>
      <c r="AE113" s="1130">
        <v>43329</v>
      </c>
      <c r="AF113" s="1128">
        <v>109</v>
      </c>
      <c r="AG113" s="782" t="s">
        <v>1083</v>
      </c>
      <c r="AH113" s="653"/>
      <c r="AI113" s="653"/>
      <c r="AJ113" s="653"/>
      <c r="AK113" s="653"/>
    </row>
    <row r="114" spans="1:40" ht="16.5" customHeight="1" x14ac:dyDescent="0.2">
      <c r="A114" s="1335"/>
      <c r="B114" s="1335"/>
      <c r="C114" s="1335"/>
      <c r="D114" s="1335"/>
      <c r="E114" s="1335"/>
      <c r="F114" s="1332" t="s">
        <v>529</v>
      </c>
      <c r="G114" s="1332"/>
      <c r="H114" s="1332"/>
      <c r="I114" s="1332"/>
      <c r="J114" s="1332"/>
      <c r="K114" s="1332"/>
      <c r="L114" s="1332"/>
      <c r="M114" s="1332"/>
      <c r="N114" s="1332"/>
      <c r="O114" s="1332"/>
      <c r="P114" s="1332"/>
      <c r="Q114" s="1332"/>
      <c r="R114" s="1332"/>
      <c r="S114" s="1332"/>
      <c r="T114" s="1332"/>
      <c r="U114" s="1332"/>
      <c r="V114" s="706"/>
      <c r="W114" s="663">
        <f>SUM(W83:W106)</f>
        <v>919400000</v>
      </c>
      <c r="X114" s="663">
        <f>SUM(X83:X113)</f>
        <v>1475445692</v>
      </c>
      <c r="Y114" s="663"/>
      <c r="Z114" s="663">
        <f>SUM(Z83:Z113)</f>
        <v>2394845692</v>
      </c>
      <c r="AA114" s="663">
        <f>SUM(AA83:AA113)</f>
        <v>919400000</v>
      </c>
      <c r="AB114" s="663">
        <f t="shared" ref="AB114:AD114" si="49">SUM(AB83:AB113)</f>
        <v>1459445692</v>
      </c>
      <c r="AC114" s="663">
        <f t="shared" si="49"/>
        <v>0</v>
      </c>
      <c r="AD114" s="663">
        <f t="shared" si="49"/>
        <v>2378845692</v>
      </c>
      <c r="AE114" s="663"/>
      <c r="AF114" s="663"/>
      <c r="AG114" s="788"/>
      <c r="AH114" s="663">
        <v>917481936</v>
      </c>
      <c r="AI114" s="663">
        <f>313777620+1145668072</f>
        <v>1459445692</v>
      </c>
      <c r="AJ114" s="663"/>
      <c r="AK114" s="663">
        <f>+AH114+AI114+AJ114</f>
        <v>2376927628</v>
      </c>
      <c r="AL114" s="749"/>
    </row>
    <row r="115" spans="1:40" ht="12" customHeight="1" x14ac:dyDescent="0.2">
      <c r="A115" s="1336"/>
      <c r="B115" s="1336"/>
      <c r="C115" s="1336"/>
      <c r="D115" s="1336"/>
      <c r="E115" s="959"/>
      <c r="F115" s="1377" t="s">
        <v>532</v>
      </c>
      <c r="G115" s="1377"/>
      <c r="H115" s="1377"/>
      <c r="I115" s="1377"/>
      <c r="J115" s="1377"/>
      <c r="K115" s="1377"/>
      <c r="L115" s="1377"/>
      <c r="M115" s="1377"/>
      <c r="N115" s="1377"/>
      <c r="O115" s="1377"/>
      <c r="P115" s="1377"/>
      <c r="Q115" s="1377"/>
      <c r="R115" s="1377"/>
      <c r="S115" s="1377"/>
      <c r="T115" s="1377"/>
      <c r="U115" s="1377"/>
      <c r="V115" s="702"/>
      <c r="W115" s="661">
        <f>+W114</f>
        <v>919400000</v>
      </c>
      <c r="X115" s="661">
        <f t="shared" ref="X115" si="50">+X114</f>
        <v>1475445692</v>
      </c>
      <c r="Y115" s="661"/>
      <c r="Z115" s="661">
        <f>+Z114</f>
        <v>2394845692</v>
      </c>
      <c r="AA115" s="661">
        <f>+AA114</f>
        <v>919400000</v>
      </c>
      <c r="AB115" s="661">
        <f t="shared" ref="AB115" si="51">+AB114</f>
        <v>1459445692</v>
      </c>
      <c r="AC115" s="661"/>
      <c r="AD115" s="661">
        <f>+AD114</f>
        <v>2378845692</v>
      </c>
      <c r="AE115" s="661"/>
      <c r="AF115" s="661"/>
      <c r="AG115" s="786"/>
      <c r="AH115" s="661">
        <f>+AH114</f>
        <v>917481936</v>
      </c>
      <c r="AI115" s="661">
        <f t="shared" ref="AI115" si="52">+AI114</f>
        <v>1459445692</v>
      </c>
      <c r="AJ115" s="661"/>
      <c r="AK115" s="661">
        <f>+AK114</f>
        <v>2376927628</v>
      </c>
      <c r="AN115" s="749">
        <f>1475445692-X114</f>
        <v>0</v>
      </c>
    </row>
    <row r="116" spans="1:40" ht="48.75" customHeight="1" x14ac:dyDescent="0.2">
      <c r="A116" s="1363" t="str">
        <f>+A83</f>
        <v>113 Bogotá reconoce a sus maestras, maestros y directivos docentes.</v>
      </c>
      <c r="B116" s="1363" t="str">
        <f>+B83</f>
        <v>Código 386 
Tres centros de Innovación que dinamizan las Estrategias y procesos en la Red de Innovación del Maestro</v>
      </c>
      <c r="C116" s="1363" t="str">
        <f>+C83</f>
        <v>Componente N° 2: Estrategia de Cualificación investigación e innovación docente: Comunidades de saber y de práctica pedagógica</v>
      </c>
      <c r="D116" s="1364" t="s">
        <v>504</v>
      </c>
      <c r="E116" s="1364" t="s">
        <v>1120</v>
      </c>
      <c r="F116" s="1337" t="s">
        <v>574</v>
      </c>
      <c r="G116" s="732">
        <v>101</v>
      </c>
      <c r="H116" s="866">
        <v>46</v>
      </c>
      <c r="I116" s="735" t="s">
        <v>733</v>
      </c>
      <c r="J116" s="704">
        <v>80111621</v>
      </c>
      <c r="K116" s="598" t="s">
        <v>724</v>
      </c>
      <c r="L116" s="726">
        <v>30303</v>
      </c>
      <c r="M116" s="726" t="s">
        <v>790</v>
      </c>
      <c r="N116" s="728" t="s">
        <v>791</v>
      </c>
      <c r="O116" s="728" t="s">
        <v>815</v>
      </c>
      <c r="P116" s="599" t="s">
        <v>594</v>
      </c>
      <c r="Q116" s="605" t="s">
        <v>548</v>
      </c>
      <c r="R116" s="601" t="s">
        <v>548</v>
      </c>
      <c r="S116" s="602">
        <v>5</v>
      </c>
      <c r="T116" s="603">
        <v>1</v>
      </c>
      <c r="U116" s="818" t="s">
        <v>611</v>
      </c>
      <c r="V116" s="717" t="str">
        <f>IF(U116=listas!$C$1,listas!$B$1,IF(U116=listas!$C$2,listas!$B$2,IF(U116=listas!$C$3,listas!$B$3,IF(U116=listas!$C$4,listas!$B$4,IF(U116=listas!$C$5,listas!$B$5,IF(U116=listas!$C$6,listas!$B$6,IF(U116=listas!$C$7,listas!$B$7,IF(U116=listas!$C$8,listas!$B$8,""))))))))</f>
        <v/>
      </c>
      <c r="W116" s="653">
        <v>43500000</v>
      </c>
      <c r="X116" s="653"/>
      <c r="Y116" s="653"/>
      <c r="Z116" s="835">
        <f t="shared" ref="Z116:Z122" si="53">+W116+X116</f>
        <v>43500000</v>
      </c>
      <c r="AA116" s="653">
        <v>43500000</v>
      </c>
      <c r="AB116" s="653"/>
      <c r="AC116" s="653"/>
      <c r="AD116" s="653">
        <f t="shared" ref="AD116" si="54">+AA116+AB116</f>
        <v>43500000</v>
      </c>
      <c r="AE116" s="1130">
        <v>43125</v>
      </c>
      <c r="AF116" s="1129">
        <v>54</v>
      </c>
      <c r="AG116" s="782" t="s">
        <v>901</v>
      </c>
      <c r="AH116" s="653"/>
      <c r="AI116" s="653"/>
      <c r="AJ116" s="653"/>
      <c r="AK116" s="653"/>
    </row>
    <row r="117" spans="1:40" ht="41.25" customHeight="1" x14ac:dyDescent="0.2">
      <c r="A117" s="1363"/>
      <c r="B117" s="1363"/>
      <c r="C117" s="1363"/>
      <c r="D117" s="1364"/>
      <c r="E117" s="1364"/>
      <c r="F117" s="1337"/>
      <c r="G117" s="732">
        <v>102</v>
      </c>
      <c r="H117" s="866">
        <v>250</v>
      </c>
      <c r="I117" s="735" t="s">
        <v>734</v>
      </c>
      <c r="J117" s="704">
        <v>80111621</v>
      </c>
      <c r="K117" s="598" t="s">
        <v>724</v>
      </c>
      <c r="L117" s="726">
        <v>30303</v>
      </c>
      <c r="M117" s="726" t="s">
        <v>790</v>
      </c>
      <c r="N117" s="728" t="s">
        <v>791</v>
      </c>
      <c r="O117" s="728" t="s">
        <v>815</v>
      </c>
      <c r="P117" s="599" t="s">
        <v>594</v>
      </c>
      <c r="Q117" s="605" t="s">
        <v>548</v>
      </c>
      <c r="R117" s="601" t="s">
        <v>548</v>
      </c>
      <c r="S117" s="602">
        <v>5</v>
      </c>
      <c r="T117" s="603">
        <v>1</v>
      </c>
      <c r="U117" s="818" t="s">
        <v>611</v>
      </c>
      <c r="V117" s="717" t="str">
        <f>IF(U117=listas!$C$1,listas!$B$1,IF(U117=listas!$C$2,listas!$B$2,IF(U117=listas!$C$3,listas!$B$3,IF(U117=listas!$C$4,listas!$B$4,IF(U117=listas!$C$5,listas!$B$5,IF(U117=listas!$C$6,listas!$B$6,IF(U117=listas!$C$7,listas!$B$7,IF(U117=listas!$C$8,listas!$B$8,""))))))))</f>
        <v/>
      </c>
      <c r="W117" s="653">
        <v>35000000</v>
      </c>
      <c r="X117" s="653"/>
      <c r="Y117" s="653"/>
      <c r="Z117" s="835">
        <f t="shared" si="53"/>
        <v>35000000</v>
      </c>
      <c r="AA117" s="653">
        <v>35000000</v>
      </c>
      <c r="AB117" s="653"/>
      <c r="AC117" s="653"/>
      <c r="AD117" s="653">
        <f t="shared" ref="AD117:AD122" si="55">+AA117+AB117</f>
        <v>35000000</v>
      </c>
      <c r="AE117" s="1130">
        <v>43124</v>
      </c>
      <c r="AF117" s="1129">
        <v>53</v>
      </c>
      <c r="AG117" s="782" t="s">
        <v>899</v>
      </c>
      <c r="AH117" s="653"/>
      <c r="AI117" s="653"/>
      <c r="AJ117" s="653"/>
      <c r="AK117" s="653"/>
    </row>
    <row r="118" spans="1:40" ht="43.5" customHeight="1" x14ac:dyDescent="0.2">
      <c r="A118" s="1363"/>
      <c r="B118" s="1363"/>
      <c r="C118" s="1363"/>
      <c r="D118" s="1364"/>
      <c r="E118" s="1364"/>
      <c r="F118" s="1337"/>
      <c r="G118" s="732">
        <v>103</v>
      </c>
      <c r="H118" s="866">
        <v>251</v>
      </c>
      <c r="I118" s="735" t="s">
        <v>735</v>
      </c>
      <c r="J118" s="704">
        <v>80111621</v>
      </c>
      <c r="K118" s="598" t="s">
        <v>724</v>
      </c>
      <c r="L118" s="726">
        <v>30303</v>
      </c>
      <c r="M118" s="726" t="s">
        <v>790</v>
      </c>
      <c r="N118" s="728" t="s">
        <v>791</v>
      </c>
      <c r="O118" s="728" t="s">
        <v>815</v>
      </c>
      <c r="P118" s="599" t="s">
        <v>594</v>
      </c>
      <c r="Q118" s="605" t="s">
        <v>548</v>
      </c>
      <c r="R118" s="601" t="s">
        <v>548</v>
      </c>
      <c r="S118" s="602">
        <v>5</v>
      </c>
      <c r="T118" s="603">
        <v>1</v>
      </c>
      <c r="U118" s="818" t="s">
        <v>611</v>
      </c>
      <c r="V118" s="717" t="str">
        <f>IF(U118=listas!$C$1,listas!$B$1,IF(U118=listas!$C$2,listas!$B$2,IF(U118=listas!$C$3,listas!$B$3,IF(U118=listas!$C$4,listas!$B$4,IF(U118=listas!$C$5,listas!$B$5,IF(U118=listas!$C$6,listas!$B$6,IF(U118=listas!$C$7,listas!$B$7,IF(U118=listas!$C$8,listas!$B$8,""))))))))</f>
        <v/>
      </c>
      <c r="W118" s="653">
        <v>35000000</v>
      </c>
      <c r="X118" s="653"/>
      <c r="Y118" s="653"/>
      <c r="Z118" s="835">
        <f t="shared" si="53"/>
        <v>35000000</v>
      </c>
      <c r="AA118" s="653">
        <v>35000000</v>
      </c>
      <c r="AB118" s="653"/>
      <c r="AC118" s="653"/>
      <c r="AD118" s="653">
        <f t="shared" si="55"/>
        <v>35000000</v>
      </c>
      <c r="AE118" s="1130">
        <v>43125</v>
      </c>
      <c r="AF118" s="1129">
        <v>57</v>
      </c>
      <c r="AG118" s="782" t="s">
        <v>902</v>
      </c>
      <c r="AH118" s="653"/>
      <c r="AI118" s="653"/>
      <c r="AJ118" s="653"/>
      <c r="AK118" s="653"/>
    </row>
    <row r="119" spans="1:40" ht="42.75" customHeight="1" x14ac:dyDescent="0.2">
      <c r="A119" s="1363"/>
      <c r="B119" s="1363"/>
      <c r="C119" s="1363"/>
      <c r="D119" s="1364"/>
      <c r="E119" s="1364"/>
      <c r="F119" s="1337"/>
      <c r="G119" s="732">
        <v>104</v>
      </c>
      <c r="H119" s="866">
        <v>252</v>
      </c>
      <c r="I119" s="735" t="s">
        <v>736</v>
      </c>
      <c r="J119" s="704">
        <v>80111621</v>
      </c>
      <c r="K119" s="598" t="s">
        <v>724</v>
      </c>
      <c r="L119" s="726">
        <v>3020417001</v>
      </c>
      <c r="M119" s="726" t="s">
        <v>796</v>
      </c>
      <c r="N119" s="726" t="s">
        <v>797</v>
      </c>
      <c r="O119" s="726" t="s">
        <v>798</v>
      </c>
      <c r="P119" s="599" t="s">
        <v>594</v>
      </c>
      <c r="Q119" s="605" t="s">
        <v>548</v>
      </c>
      <c r="R119" s="601" t="s">
        <v>548</v>
      </c>
      <c r="S119" s="602">
        <v>5</v>
      </c>
      <c r="T119" s="603">
        <v>1</v>
      </c>
      <c r="U119" s="818" t="s">
        <v>611</v>
      </c>
      <c r="V119" s="717" t="str">
        <f>IF(U119=listas!$C$1,listas!$B$1,IF(U119=listas!$C$2,listas!$B$2,IF(U119=listas!$C$3,listas!$B$3,IF(U119=listas!$C$4,listas!$B$4,IF(U119=listas!$C$5,listas!$B$5,IF(U119=listas!$C$6,listas!$B$6,IF(U119=listas!$C$7,listas!$B$7,IF(U119=listas!$C$8,listas!$B$8,""))))))))</f>
        <v/>
      </c>
      <c r="W119" s="653"/>
      <c r="X119" s="653">
        <v>35000000</v>
      </c>
      <c r="Y119" s="653"/>
      <c r="Z119" s="835">
        <f t="shared" si="53"/>
        <v>35000000</v>
      </c>
      <c r="AA119" s="653"/>
      <c r="AB119" s="653">
        <v>35000000</v>
      </c>
      <c r="AC119" s="653"/>
      <c r="AD119" s="653">
        <f t="shared" si="55"/>
        <v>35000000</v>
      </c>
      <c r="AE119" s="1130">
        <v>43119</v>
      </c>
      <c r="AF119" s="1129">
        <v>35</v>
      </c>
      <c r="AG119" s="782" t="s">
        <v>917</v>
      </c>
      <c r="AH119" s="653"/>
      <c r="AI119" s="653"/>
      <c r="AJ119" s="653"/>
      <c r="AK119" s="653"/>
    </row>
    <row r="120" spans="1:40" ht="39" customHeight="1" x14ac:dyDescent="0.2">
      <c r="A120" s="1363"/>
      <c r="B120" s="1363"/>
      <c r="C120" s="1363"/>
      <c r="D120" s="1364"/>
      <c r="E120" s="1364"/>
      <c r="F120" s="1337"/>
      <c r="G120" s="732">
        <v>105</v>
      </c>
      <c r="H120" s="866">
        <v>256</v>
      </c>
      <c r="I120" s="735" t="s">
        <v>737</v>
      </c>
      <c r="J120" s="704">
        <v>80111621</v>
      </c>
      <c r="K120" s="598" t="s">
        <v>724</v>
      </c>
      <c r="L120" s="726">
        <v>3020417001</v>
      </c>
      <c r="M120" s="726" t="s">
        <v>796</v>
      </c>
      <c r="N120" s="726" t="s">
        <v>797</v>
      </c>
      <c r="O120" s="726" t="s">
        <v>798</v>
      </c>
      <c r="P120" s="599" t="s">
        <v>594</v>
      </c>
      <c r="Q120" s="605" t="s">
        <v>548</v>
      </c>
      <c r="R120" s="601" t="s">
        <v>548</v>
      </c>
      <c r="S120" s="602">
        <v>5</v>
      </c>
      <c r="T120" s="603">
        <v>1</v>
      </c>
      <c r="U120" s="818" t="s">
        <v>611</v>
      </c>
      <c r="V120" s="717" t="str">
        <f>IF(U120=listas!$C$1,listas!$B$1,IF(U120=listas!$C$2,listas!$B$2,IF(U120=listas!$C$3,listas!$B$3,IF(U120=listas!$C$4,listas!$B$4,IF(U120=listas!$C$5,listas!$B$5,IF(U120=listas!$C$6,listas!$B$6,IF(U120=listas!$C$7,listas!$B$7,IF(U120=listas!$C$8,listas!$B$8,""))))))))</f>
        <v/>
      </c>
      <c r="W120" s="653"/>
      <c r="X120" s="653">
        <v>35000000</v>
      </c>
      <c r="Y120" s="653"/>
      <c r="Z120" s="835">
        <f t="shared" si="53"/>
        <v>35000000</v>
      </c>
      <c r="AA120" s="653"/>
      <c r="AB120" s="653">
        <v>35000000</v>
      </c>
      <c r="AC120" s="653"/>
      <c r="AD120" s="653">
        <f t="shared" si="55"/>
        <v>35000000</v>
      </c>
      <c r="AE120" s="1130">
        <v>43123</v>
      </c>
      <c r="AF120" s="1129">
        <v>51</v>
      </c>
      <c r="AG120" s="782" t="s">
        <v>918</v>
      </c>
      <c r="AH120" s="653"/>
      <c r="AI120" s="653"/>
      <c r="AJ120" s="653"/>
      <c r="AK120" s="653"/>
    </row>
    <row r="121" spans="1:40" ht="27.75" customHeight="1" x14ac:dyDescent="0.2">
      <c r="A121" s="1363"/>
      <c r="B121" s="1363"/>
      <c r="C121" s="1363"/>
      <c r="D121" s="1364"/>
      <c r="E121" s="1364"/>
      <c r="F121" s="1337"/>
      <c r="G121" s="732">
        <v>106</v>
      </c>
      <c r="H121" s="866">
        <v>332</v>
      </c>
      <c r="I121" s="735" t="s">
        <v>575</v>
      </c>
      <c r="J121" s="704">
        <v>80111601</v>
      </c>
      <c r="K121" s="598" t="s">
        <v>724</v>
      </c>
      <c r="L121" s="726">
        <v>30303</v>
      </c>
      <c r="M121" s="726" t="s">
        <v>790</v>
      </c>
      <c r="N121" s="728" t="s">
        <v>777</v>
      </c>
      <c r="O121" s="728" t="s">
        <v>807</v>
      </c>
      <c r="P121" s="599" t="s">
        <v>594</v>
      </c>
      <c r="Q121" s="605" t="s">
        <v>548</v>
      </c>
      <c r="R121" s="601" t="s">
        <v>548</v>
      </c>
      <c r="S121" s="602">
        <v>5</v>
      </c>
      <c r="T121" s="603">
        <v>1</v>
      </c>
      <c r="U121" s="818" t="s">
        <v>611</v>
      </c>
      <c r="V121" s="717" t="str">
        <f>IF(U121=listas!$C$1,listas!$B$1,IF(U121=listas!$C$2,listas!$B$2,IF(U121=listas!$C$3,listas!$B$3,IF(U121=listas!$C$4,listas!$B$4,IF(U121=listas!$C$5,listas!$B$5,IF(U121=listas!$C$6,listas!$B$6,IF(U121=listas!$C$7,listas!$B$7,IF(U121=listas!$C$8,listas!$B$8,""))))))))</f>
        <v/>
      </c>
      <c r="W121" s="653">
        <v>19180640</v>
      </c>
      <c r="X121" s="653"/>
      <c r="Y121" s="653"/>
      <c r="Z121" s="835">
        <f t="shared" si="53"/>
        <v>19180640</v>
      </c>
      <c r="AA121" s="653">
        <v>19180640</v>
      </c>
      <c r="AB121" s="653"/>
      <c r="AC121" s="653"/>
      <c r="AD121" s="653">
        <f t="shared" si="55"/>
        <v>19180640</v>
      </c>
      <c r="AE121" s="1130">
        <v>43118</v>
      </c>
      <c r="AF121" s="1129">
        <v>26</v>
      </c>
      <c r="AG121" s="782" t="s">
        <v>900</v>
      </c>
      <c r="AH121" s="653"/>
      <c r="AI121" s="653"/>
      <c r="AJ121" s="653"/>
      <c r="AK121" s="653"/>
    </row>
    <row r="122" spans="1:40" ht="43.5" customHeight="1" x14ac:dyDescent="0.2">
      <c r="A122" s="1363"/>
      <c r="B122" s="1363"/>
      <c r="C122" s="1363"/>
      <c r="D122" s="1364"/>
      <c r="E122" s="1364"/>
      <c r="F122" s="1337"/>
      <c r="G122" s="732">
        <v>107</v>
      </c>
      <c r="H122" s="866">
        <v>258</v>
      </c>
      <c r="I122" s="735" t="s">
        <v>576</v>
      </c>
      <c r="J122" s="704">
        <v>80111621</v>
      </c>
      <c r="K122" s="598" t="s">
        <v>724</v>
      </c>
      <c r="L122" s="726">
        <v>3020417001</v>
      </c>
      <c r="M122" s="726" t="s">
        <v>796</v>
      </c>
      <c r="N122" s="726" t="s">
        <v>799</v>
      </c>
      <c r="O122" s="726" t="s">
        <v>800</v>
      </c>
      <c r="P122" s="599" t="s">
        <v>594</v>
      </c>
      <c r="Q122" s="605" t="s">
        <v>548</v>
      </c>
      <c r="R122" s="601" t="s">
        <v>548</v>
      </c>
      <c r="S122" s="602">
        <v>5</v>
      </c>
      <c r="T122" s="603">
        <v>1</v>
      </c>
      <c r="U122" s="818" t="s">
        <v>611</v>
      </c>
      <c r="V122" s="717" t="str">
        <f>IF(U122=listas!$C$1,listas!$B$1,IF(U122=listas!$C$2,listas!$B$2,IF(U122=listas!$C$3,listas!$B$3,IF(U122=listas!$C$4,listas!$B$4,IF(U122=listas!$C$5,listas!$B$5,IF(U122=listas!$C$6,listas!$B$6,IF(U122=listas!$C$7,listas!$B$7,IF(U122=listas!$C$8,listas!$B$8,""))))))))</f>
        <v/>
      </c>
      <c r="W122" s="653">
        <v>67319360</v>
      </c>
      <c r="X122" s="653">
        <v>130000000</v>
      </c>
      <c r="Y122" s="653"/>
      <c r="Z122" s="835">
        <f t="shared" si="53"/>
        <v>197319360</v>
      </c>
      <c r="AA122" s="653">
        <v>67319360</v>
      </c>
      <c r="AB122" s="653">
        <v>130000000</v>
      </c>
      <c r="AC122" s="653"/>
      <c r="AD122" s="653">
        <f t="shared" si="55"/>
        <v>197319360</v>
      </c>
      <c r="AE122" s="1130">
        <v>43126</v>
      </c>
      <c r="AF122" s="1129">
        <v>62</v>
      </c>
      <c r="AG122" s="782" t="s">
        <v>903</v>
      </c>
      <c r="AH122" s="653"/>
      <c r="AI122" s="653"/>
      <c r="AJ122" s="653"/>
      <c r="AK122" s="653"/>
    </row>
    <row r="123" spans="1:40" ht="12" x14ac:dyDescent="0.2">
      <c r="A123" s="1363"/>
      <c r="B123" s="1363"/>
      <c r="C123" s="1363"/>
      <c r="D123" s="1364"/>
      <c r="E123" s="1364"/>
      <c r="F123" s="1332" t="s">
        <v>529</v>
      </c>
      <c r="G123" s="1332"/>
      <c r="H123" s="1332"/>
      <c r="I123" s="1332"/>
      <c r="J123" s="1332"/>
      <c r="K123" s="1332"/>
      <c r="L123" s="1332"/>
      <c r="M123" s="1332"/>
      <c r="N123" s="1332"/>
      <c r="O123" s="1332"/>
      <c r="P123" s="1332"/>
      <c r="Q123" s="1332"/>
      <c r="R123" s="1332"/>
      <c r="S123" s="1332"/>
      <c r="T123" s="1332"/>
      <c r="U123" s="1332"/>
      <c r="V123" s="706"/>
      <c r="W123" s="663">
        <f>SUM(W116:W122)</f>
        <v>200000000</v>
      </c>
      <c r="X123" s="663">
        <f t="shared" ref="X123:Z123" si="56">SUM(X116:X122)</f>
        <v>200000000</v>
      </c>
      <c r="Y123" s="663"/>
      <c r="Z123" s="663">
        <f t="shared" si="56"/>
        <v>400000000</v>
      </c>
      <c r="AA123" s="663">
        <f>SUM(AA116:AA122)</f>
        <v>200000000</v>
      </c>
      <c r="AB123" s="663">
        <f t="shared" ref="AB123:AD123" si="57">SUM(AB116:AB122)</f>
        <v>200000000</v>
      </c>
      <c r="AC123" s="663"/>
      <c r="AD123" s="663">
        <f t="shared" si="57"/>
        <v>400000000</v>
      </c>
      <c r="AE123" s="663"/>
      <c r="AF123" s="663"/>
      <c r="AG123" s="788"/>
      <c r="AH123" s="663">
        <v>200000000</v>
      </c>
      <c r="AI123" s="663">
        <v>200000000</v>
      </c>
      <c r="AJ123" s="663"/>
      <c r="AK123" s="663">
        <f>+AH123+AI123+AJ123</f>
        <v>400000000</v>
      </c>
      <c r="AL123" s="1135"/>
    </row>
    <row r="124" spans="1:40" ht="45.75" customHeight="1" x14ac:dyDescent="0.2">
      <c r="A124" s="1363"/>
      <c r="B124" s="1363"/>
      <c r="C124" s="1363"/>
      <c r="D124" s="1364"/>
      <c r="E124" s="1364"/>
      <c r="F124" s="1418" t="s">
        <v>545</v>
      </c>
      <c r="G124" s="732">
        <v>108</v>
      </c>
      <c r="H124" s="866">
        <v>333</v>
      </c>
      <c r="I124" s="735" t="s">
        <v>738</v>
      </c>
      <c r="J124" s="704">
        <v>80111621</v>
      </c>
      <c r="K124" s="598" t="s">
        <v>677</v>
      </c>
      <c r="L124" s="726">
        <v>30303</v>
      </c>
      <c r="M124" s="726" t="s">
        <v>790</v>
      </c>
      <c r="N124" s="726" t="s">
        <v>801</v>
      </c>
      <c r="O124" s="726" t="s">
        <v>802</v>
      </c>
      <c r="P124" s="599" t="s">
        <v>587</v>
      </c>
      <c r="Q124" s="605" t="s">
        <v>548</v>
      </c>
      <c r="R124" s="606" t="s">
        <v>548</v>
      </c>
      <c r="S124" s="603">
        <v>5</v>
      </c>
      <c r="T124" s="603">
        <v>1</v>
      </c>
      <c r="U124" s="818" t="s">
        <v>611</v>
      </c>
      <c r="V124" s="717" t="str">
        <f>IF(U124=listas!$C$1,listas!$B$1,IF(U124=listas!$C$2,listas!$B$2,IF(U124=listas!$C$3,listas!$B$3,IF(U124=listas!$C$4,listas!$B$4,IF(U124=listas!$C$5,listas!$B$5,IF(U124=listas!$C$6,listas!$B$6,IF(U124=listas!$C$7,listas!$B$7,IF(U124=listas!$C$8,listas!$B$8,""))))))))</f>
        <v/>
      </c>
      <c r="W124" s="653">
        <v>37500000</v>
      </c>
      <c r="X124" s="653"/>
      <c r="Y124" s="653"/>
      <c r="Z124" s="835">
        <f t="shared" ref="Z124:Z129" si="58">+W124+X124</f>
        <v>37500000</v>
      </c>
      <c r="AA124" s="653">
        <v>37500000</v>
      </c>
      <c r="AB124" s="653"/>
      <c r="AC124" s="653"/>
      <c r="AD124" s="653">
        <f t="shared" ref="AD124:AD125" si="59">+AA124+AB124</f>
        <v>37500000</v>
      </c>
      <c r="AE124" s="775">
        <v>43119</v>
      </c>
      <c r="AF124" s="1129">
        <v>30</v>
      </c>
      <c r="AG124" s="782" t="s">
        <v>904</v>
      </c>
      <c r="AH124" s="653"/>
      <c r="AI124" s="653"/>
      <c r="AJ124" s="653"/>
      <c r="AK124" s="653"/>
    </row>
    <row r="125" spans="1:40" ht="42" customHeight="1" x14ac:dyDescent="0.2">
      <c r="A125" s="1363"/>
      <c r="B125" s="1363"/>
      <c r="C125" s="1363"/>
      <c r="D125" s="1364"/>
      <c r="E125" s="1364"/>
      <c r="F125" s="1419"/>
      <c r="G125" s="732">
        <v>109</v>
      </c>
      <c r="H125" s="866">
        <v>260</v>
      </c>
      <c r="I125" s="735" t="s">
        <v>739</v>
      </c>
      <c r="J125" s="704">
        <v>80111621</v>
      </c>
      <c r="K125" s="598" t="s">
        <v>677</v>
      </c>
      <c r="L125" s="726">
        <v>30303</v>
      </c>
      <c r="M125" s="726" t="s">
        <v>790</v>
      </c>
      <c r="N125" s="726" t="s">
        <v>801</v>
      </c>
      <c r="O125" s="726" t="s">
        <v>802</v>
      </c>
      <c r="P125" s="599" t="s">
        <v>587</v>
      </c>
      <c r="Q125" s="605" t="s">
        <v>548</v>
      </c>
      <c r="R125" s="606" t="s">
        <v>548</v>
      </c>
      <c r="S125" s="603">
        <v>5</v>
      </c>
      <c r="T125" s="603">
        <v>1</v>
      </c>
      <c r="U125" s="818" t="s">
        <v>611</v>
      </c>
      <c r="V125" s="717" t="str">
        <f>IF(U125=listas!$C$1,listas!$B$1,IF(U125=listas!$C$2,listas!$B$2,IF(U125=listas!$C$3,listas!$B$3,IF(U125=listas!$C$4,listas!$B$4,IF(U125=listas!$C$5,listas!$B$5,IF(U125=listas!$C$6,listas!$B$6,IF(U125=listas!$C$7,listas!$B$7,IF(U125=listas!$C$8,listas!$B$8,""))))))))</f>
        <v/>
      </c>
      <c r="W125" s="653">
        <v>37500000</v>
      </c>
      <c r="X125" s="653"/>
      <c r="Y125" s="653"/>
      <c r="Z125" s="835">
        <f t="shared" si="58"/>
        <v>37500000</v>
      </c>
      <c r="AA125" s="653">
        <v>37500000</v>
      </c>
      <c r="AB125" s="653"/>
      <c r="AC125" s="653"/>
      <c r="AD125" s="653">
        <f t="shared" si="59"/>
        <v>37500000</v>
      </c>
      <c r="AE125" s="775">
        <v>43119</v>
      </c>
      <c r="AF125" s="1129">
        <v>29</v>
      </c>
      <c r="AG125" s="782" t="s">
        <v>905</v>
      </c>
      <c r="AH125" s="653"/>
      <c r="AI125" s="653"/>
      <c r="AJ125" s="653"/>
      <c r="AK125" s="653"/>
    </row>
    <row r="126" spans="1:40" ht="28.5" customHeight="1" x14ac:dyDescent="0.2">
      <c r="A126" s="1363"/>
      <c r="B126" s="1363"/>
      <c r="C126" s="1363"/>
      <c r="D126" s="1364"/>
      <c r="E126" s="1364"/>
      <c r="F126" s="1419"/>
      <c r="G126" s="830">
        <v>145</v>
      </c>
      <c r="H126" s="866">
        <v>319</v>
      </c>
      <c r="I126" s="735" t="s">
        <v>869</v>
      </c>
      <c r="J126" s="709">
        <v>80111621</v>
      </c>
      <c r="K126" s="595" t="s">
        <v>689</v>
      </c>
      <c r="L126" s="709">
        <v>3020417001</v>
      </c>
      <c r="M126" s="709" t="s">
        <v>796</v>
      </c>
      <c r="N126" s="709" t="s">
        <v>816</v>
      </c>
      <c r="O126" s="709" t="s">
        <v>817</v>
      </c>
      <c r="P126" s="742" t="s">
        <v>751</v>
      </c>
      <c r="Q126" s="756" t="s">
        <v>548</v>
      </c>
      <c r="R126" s="757" t="s">
        <v>548</v>
      </c>
      <c r="S126" s="597">
        <v>5</v>
      </c>
      <c r="T126" s="597">
        <v>1</v>
      </c>
      <c r="U126" s="872" t="s">
        <v>611</v>
      </c>
      <c r="V126" s="717" t="str">
        <f>IF(U126=listas!$C$1,listas!$B$1,IF(U126=listas!$C$2,listas!$B$2,IF(U126=listas!$C$3,listas!$B$3,IF(U126=listas!$C$4,listas!$B$4,IF(U126=listas!$C$5,listas!$B$5,IF(U126=listas!$C$6,listas!$B$6,IF(U126=listas!$C$7,listas!$B$7,IF(U126=listas!$C$8,listas!$B$8,""))))))))</f>
        <v/>
      </c>
      <c r="W126" s="754">
        <v>10000000</v>
      </c>
      <c r="X126" s="754">
        <v>40000000</v>
      </c>
      <c r="Y126" s="754"/>
      <c r="Z126" s="835">
        <f t="shared" si="58"/>
        <v>50000000</v>
      </c>
      <c r="AA126" s="754">
        <v>10000000</v>
      </c>
      <c r="AB126" s="754">
        <v>40000000</v>
      </c>
      <c r="AC126" s="754"/>
      <c r="AD126" s="754">
        <f t="shared" ref="AD126" si="60">+AA126+AB126</f>
        <v>50000000</v>
      </c>
      <c r="AE126" s="775">
        <v>43125</v>
      </c>
      <c r="AF126" s="1129">
        <v>59</v>
      </c>
      <c r="AG126" s="784" t="s">
        <v>885</v>
      </c>
      <c r="AH126" s="754"/>
      <c r="AI126" s="754"/>
      <c r="AJ126" s="754"/>
      <c r="AK126" s="754"/>
    </row>
    <row r="127" spans="1:40" ht="38.25" customHeight="1" x14ac:dyDescent="0.2">
      <c r="A127" s="1363"/>
      <c r="B127" s="1363"/>
      <c r="C127" s="1363"/>
      <c r="D127" s="1364"/>
      <c r="E127" s="1364"/>
      <c r="F127" s="1419"/>
      <c r="G127" s="904">
        <v>110</v>
      </c>
      <c r="H127" s="904">
        <v>334</v>
      </c>
      <c r="I127" s="735" t="s">
        <v>1011</v>
      </c>
      <c r="J127" s="709">
        <v>80111621</v>
      </c>
      <c r="K127" s="595" t="s">
        <v>677</v>
      </c>
      <c r="L127" s="709">
        <v>30303</v>
      </c>
      <c r="M127" s="709" t="s">
        <v>790</v>
      </c>
      <c r="N127" s="709">
        <v>2.4</v>
      </c>
      <c r="O127" s="709" t="s">
        <v>1014</v>
      </c>
      <c r="P127" s="742" t="s">
        <v>587</v>
      </c>
      <c r="Q127" s="756" t="s">
        <v>101</v>
      </c>
      <c r="R127" s="757" t="s">
        <v>1012</v>
      </c>
      <c r="S127" s="597">
        <v>4</v>
      </c>
      <c r="T127" s="597">
        <v>1</v>
      </c>
      <c r="U127" s="905" t="s">
        <v>611</v>
      </c>
      <c r="V127" s="717" t="str">
        <f>IF(U127=listas!$C$1,listas!$B$1,IF(U127=listas!$C$2,listas!$B$2,IF(U127=listas!$C$3,listas!$B$3,IF(U127=listas!$C$4,listas!$B$4,IF(U127=listas!$C$5,listas!$B$5,IF(U127=listas!$C$6,listas!$B$6,IF(U127=listas!$C$7,listas!$B$7,IF(U127=listas!$C$8,listas!$B$8,""))))))))</f>
        <v/>
      </c>
      <c r="W127" s="754">
        <f>37500000-7500000</f>
        <v>30000000</v>
      </c>
      <c r="X127" s="754"/>
      <c r="Y127" s="754"/>
      <c r="Z127" s="835">
        <f t="shared" si="58"/>
        <v>30000000</v>
      </c>
      <c r="AA127" s="653">
        <v>30000000</v>
      </c>
      <c r="AB127" s="653"/>
      <c r="AC127" s="653"/>
      <c r="AD127" s="653">
        <f>+AB127+AA127+AC127</f>
        <v>30000000</v>
      </c>
      <c r="AE127" s="775">
        <v>43322</v>
      </c>
      <c r="AF127" s="1129">
        <v>85</v>
      </c>
      <c r="AG127" s="782" t="s">
        <v>1065</v>
      </c>
      <c r="AH127" s="653"/>
      <c r="AI127" s="653"/>
      <c r="AJ127" s="653"/>
      <c r="AK127" s="653"/>
    </row>
    <row r="128" spans="1:40" ht="45" customHeight="1" x14ac:dyDescent="0.2">
      <c r="A128" s="1363"/>
      <c r="B128" s="1363"/>
      <c r="C128" s="1363"/>
      <c r="D128" s="1364"/>
      <c r="E128" s="1364"/>
      <c r="F128" s="1419"/>
      <c r="G128" s="904">
        <v>111</v>
      </c>
      <c r="H128" s="904">
        <v>345</v>
      </c>
      <c r="I128" s="735" t="s">
        <v>1013</v>
      </c>
      <c r="J128" s="709">
        <v>80111621</v>
      </c>
      <c r="K128" s="595" t="s">
        <v>677</v>
      </c>
      <c r="L128" s="709">
        <v>30303</v>
      </c>
      <c r="M128" s="709" t="s">
        <v>790</v>
      </c>
      <c r="N128" s="709">
        <v>2.4</v>
      </c>
      <c r="O128" s="709" t="s">
        <v>1014</v>
      </c>
      <c r="P128" s="742" t="s">
        <v>587</v>
      </c>
      <c r="Q128" s="756" t="s">
        <v>101</v>
      </c>
      <c r="R128" s="757" t="s">
        <v>101</v>
      </c>
      <c r="S128" s="597">
        <v>4</v>
      </c>
      <c r="T128" s="597">
        <v>1</v>
      </c>
      <c r="U128" s="905" t="s">
        <v>611</v>
      </c>
      <c r="V128" s="717" t="str">
        <f>IF(U128=listas!$C$1,listas!$B$1,IF(U128=listas!$C$2,listas!$B$2,IF(U128=listas!$C$3,listas!$B$3,IF(U128=listas!$C$4,listas!$B$4,IF(U128=listas!$C$5,listas!$B$5,IF(U128=listas!$C$6,listas!$B$6,IF(U128=listas!$C$7,listas!$B$7,IF(U128=listas!$C$8,listas!$B$8,""))))))))</f>
        <v/>
      </c>
      <c r="W128" s="754">
        <f>37500000-7500000</f>
        <v>30000000</v>
      </c>
      <c r="X128" s="754"/>
      <c r="Y128" s="754"/>
      <c r="Z128" s="835">
        <f t="shared" si="58"/>
        <v>30000000</v>
      </c>
      <c r="AA128" s="653">
        <v>30000000</v>
      </c>
      <c r="AB128" s="653"/>
      <c r="AC128" s="653"/>
      <c r="AD128" s="653">
        <v>30000000</v>
      </c>
      <c r="AE128" s="775">
        <v>43322</v>
      </c>
      <c r="AF128" s="1129">
        <v>86</v>
      </c>
      <c r="AG128" s="782" t="s">
        <v>904</v>
      </c>
      <c r="AH128" s="653"/>
      <c r="AI128" s="653"/>
      <c r="AJ128" s="653"/>
      <c r="AK128" s="653"/>
    </row>
    <row r="129" spans="1:38" ht="54.75" customHeight="1" x14ac:dyDescent="0.2">
      <c r="A129" s="1363"/>
      <c r="B129" s="1363"/>
      <c r="C129" s="1363"/>
      <c r="D129" s="1364"/>
      <c r="E129" s="1364"/>
      <c r="F129" s="1419"/>
      <c r="G129" s="922">
        <v>112</v>
      </c>
      <c r="H129" s="922">
        <v>336</v>
      </c>
      <c r="I129" s="735" t="s">
        <v>1009</v>
      </c>
      <c r="J129" s="709">
        <v>80111621</v>
      </c>
      <c r="K129" s="595" t="s">
        <v>677</v>
      </c>
      <c r="L129" s="709">
        <v>30303</v>
      </c>
      <c r="M129" s="709" t="s">
        <v>790</v>
      </c>
      <c r="N129" s="709" t="s">
        <v>1055</v>
      </c>
      <c r="O129" s="709" t="s">
        <v>795</v>
      </c>
      <c r="P129" s="742" t="s">
        <v>587</v>
      </c>
      <c r="Q129" s="756" t="s">
        <v>101</v>
      </c>
      <c r="R129" s="757" t="s">
        <v>101</v>
      </c>
      <c r="S129" s="597">
        <v>4</v>
      </c>
      <c r="T129" s="597">
        <v>1</v>
      </c>
      <c r="U129" s="923" t="s">
        <v>611</v>
      </c>
      <c r="V129" s="717" t="str">
        <f>IF(U129=listas!$C$1,listas!$B$1,IF(U129=listas!$C$2,listas!$B$2,IF(U129=listas!$C$3,listas!$B$3,IF(U129=listas!$C$4,listas!$B$4,IF(U129=listas!$C$5,listas!$B$5,IF(U129=listas!$C$6,listas!$B$6,IF(U129=listas!$C$7,listas!$B$7,IF(U129=listas!$C$8,listas!$B$8,""))))))))</f>
        <v/>
      </c>
      <c r="W129" s="754">
        <f>53235860-13235860</f>
        <v>40000000</v>
      </c>
      <c r="X129" s="754"/>
      <c r="Y129" s="754"/>
      <c r="Z129" s="835">
        <f t="shared" si="58"/>
        <v>40000000</v>
      </c>
      <c r="AA129" s="653">
        <v>40000000</v>
      </c>
      <c r="AB129" s="653"/>
      <c r="AC129" s="653"/>
      <c r="AD129" s="653">
        <f>+AA129+AB129+AC129</f>
        <v>40000000</v>
      </c>
      <c r="AE129" s="775">
        <v>43328</v>
      </c>
      <c r="AF129" s="1129">
        <v>107</v>
      </c>
      <c r="AG129" s="782" t="s">
        <v>1066</v>
      </c>
      <c r="AH129" s="653"/>
      <c r="AI129" s="653"/>
      <c r="AJ129" s="653"/>
      <c r="AK129" s="653"/>
    </row>
    <row r="130" spans="1:38" ht="43.5" customHeight="1" x14ac:dyDescent="0.2">
      <c r="A130" s="1363"/>
      <c r="B130" s="1363"/>
      <c r="C130" s="1363"/>
      <c r="D130" s="1364"/>
      <c r="E130" s="1364"/>
      <c r="F130" s="1419"/>
      <c r="G130" s="1023"/>
      <c r="H130" s="1023"/>
      <c r="I130" s="884" t="s">
        <v>1023</v>
      </c>
      <c r="J130" s="709">
        <v>80111621</v>
      </c>
      <c r="K130" s="595" t="s">
        <v>677</v>
      </c>
      <c r="L130" s="709">
        <v>30303</v>
      </c>
      <c r="M130" s="709" t="s">
        <v>790</v>
      </c>
      <c r="N130" s="709">
        <v>2.4</v>
      </c>
      <c r="O130" s="709" t="s">
        <v>1014</v>
      </c>
      <c r="P130" s="742" t="s">
        <v>587</v>
      </c>
      <c r="Q130" s="756" t="s">
        <v>101</v>
      </c>
      <c r="R130" s="757" t="s">
        <v>101</v>
      </c>
      <c r="S130" s="597">
        <v>4</v>
      </c>
      <c r="T130" s="597">
        <v>1</v>
      </c>
      <c r="U130" s="923" t="s">
        <v>611</v>
      </c>
      <c r="V130" s="717" t="str">
        <f>IF(U130=listas!$C$1,listas!$B$1,IF(U130=listas!$C$2,listas!$B$2,IF(U130=listas!$C$3,listas!$B$3,IF(U130=listas!$C$4,listas!$B$4,IF(U130=listas!$C$5,listas!$B$5,IF(U130=listas!$C$6,listas!$B$6,IF(U130=listas!$C$7,listas!$B$7,IF(U130=listas!$C$8,listas!$B$8,""))))))))</f>
        <v/>
      </c>
      <c r="W130" s="754">
        <v>15000000</v>
      </c>
      <c r="X130" s="754"/>
      <c r="Y130" s="754"/>
      <c r="Z130" s="835">
        <f>+W130+X130+Y130</f>
        <v>15000000</v>
      </c>
      <c r="AA130" s="653">
        <v>15000000</v>
      </c>
      <c r="AB130" s="653"/>
      <c r="AC130" s="653"/>
      <c r="AD130" s="653">
        <f>+AA130+AB130+AC130</f>
        <v>15000000</v>
      </c>
      <c r="AE130" s="775">
        <v>43322</v>
      </c>
      <c r="AF130" s="1129">
        <v>84</v>
      </c>
      <c r="AG130" s="782" t="s">
        <v>1067</v>
      </c>
      <c r="AH130" s="653"/>
      <c r="AI130" s="653"/>
      <c r="AJ130" s="653"/>
      <c r="AK130" s="653"/>
    </row>
    <row r="131" spans="1:38" ht="18.75" customHeight="1" x14ac:dyDescent="0.2">
      <c r="A131" s="1363"/>
      <c r="B131" s="1363"/>
      <c r="C131" s="1363"/>
      <c r="D131" s="1364"/>
      <c r="E131" s="1364"/>
      <c r="F131" s="1332" t="s">
        <v>529</v>
      </c>
      <c r="G131" s="1332"/>
      <c r="H131" s="1332"/>
      <c r="I131" s="1332"/>
      <c r="J131" s="1039"/>
      <c r="K131" s="1039"/>
      <c r="L131" s="1039"/>
      <c r="M131" s="1039"/>
      <c r="N131" s="1039"/>
      <c r="O131" s="1039"/>
      <c r="P131" s="1039"/>
      <c r="Q131" s="1039"/>
      <c r="R131" s="1039"/>
      <c r="S131" s="1039"/>
      <c r="T131" s="1039"/>
      <c r="U131" s="1039"/>
      <c r="V131" s="706"/>
      <c r="W131" s="663">
        <f>SUM(W124:W130)</f>
        <v>200000000</v>
      </c>
      <c r="X131" s="663">
        <f t="shared" ref="X131" si="61">SUM(X124:X129)</f>
        <v>40000000</v>
      </c>
      <c r="Y131" s="663"/>
      <c r="Z131" s="663">
        <f t="shared" ref="Z131:Z165" si="62">+W131+X131+Y131</f>
        <v>240000000</v>
      </c>
      <c r="AA131" s="663">
        <f>SUM(AA124:AA130)</f>
        <v>200000000</v>
      </c>
      <c r="AB131" s="663">
        <f t="shared" ref="AB131" si="63">SUM(AB124:AB129)</f>
        <v>40000000</v>
      </c>
      <c r="AC131" s="663"/>
      <c r="AD131" s="663">
        <f t="shared" ref="AD131:AD134" si="64">+AA131+AB131+AC131</f>
        <v>240000000</v>
      </c>
      <c r="AE131" s="663"/>
      <c r="AF131" s="663"/>
      <c r="AG131" s="788"/>
      <c r="AH131" s="663">
        <v>200000000</v>
      </c>
      <c r="AI131" s="663">
        <v>40000000</v>
      </c>
      <c r="AJ131" s="663"/>
      <c r="AK131" s="663">
        <f t="shared" ref="AK131:AK134" si="65">+AH131+AI131+AJ131</f>
        <v>240000000</v>
      </c>
      <c r="AL131" s="1135"/>
    </row>
    <row r="132" spans="1:38" ht="27.75" customHeight="1" x14ac:dyDescent="0.2">
      <c r="A132" s="1363"/>
      <c r="B132" s="1363"/>
      <c r="C132" s="1363"/>
      <c r="D132" s="1364"/>
      <c r="E132" s="1364"/>
      <c r="F132" s="1378" t="s">
        <v>1123</v>
      </c>
      <c r="G132" s="1379"/>
      <c r="H132" s="1379"/>
      <c r="I132" s="1380"/>
      <c r="J132" s="1036"/>
      <c r="K132" s="1036"/>
      <c r="L132" s="1036"/>
      <c r="M132" s="1036"/>
      <c r="N132" s="1036"/>
      <c r="O132" s="1036"/>
      <c r="P132" s="1036"/>
      <c r="Q132" s="1036"/>
      <c r="R132" s="1036"/>
      <c r="S132" s="1036"/>
      <c r="T132" s="1036"/>
      <c r="U132" s="1036"/>
      <c r="V132" s="1036"/>
      <c r="W132" s="1037"/>
      <c r="X132" s="1037"/>
      <c r="Y132" s="1037"/>
      <c r="Z132" s="1037"/>
      <c r="AA132" s="1037"/>
      <c r="AB132" s="1037"/>
      <c r="AC132" s="1037"/>
      <c r="AD132" s="1037"/>
      <c r="AE132" s="1037"/>
      <c r="AF132" s="1037"/>
      <c r="AG132" s="1038"/>
      <c r="AH132" s="1037"/>
      <c r="AI132" s="1037"/>
      <c r="AJ132" s="1037"/>
      <c r="AK132" s="1037"/>
    </row>
    <row r="133" spans="1:38" ht="32.25" customHeight="1" x14ac:dyDescent="0.2">
      <c r="A133" s="1363"/>
      <c r="B133" s="1363"/>
      <c r="C133" s="1363"/>
      <c r="D133" s="1364"/>
      <c r="E133" s="1364"/>
      <c r="F133" s="1378" t="s">
        <v>1122</v>
      </c>
      <c r="G133" s="1379"/>
      <c r="H133" s="1379"/>
      <c r="I133" s="1380"/>
      <c r="J133" s="1036"/>
      <c r="K133" s="1036"/>
      <c r="L133" s="1036"/>
      <c r="M133" s="1036"/>
      <c r="N133" s="1036"/>
      <c r="O133" s="1036"/>
      <c r="P133" s="1036"/>
      <c r="Q133" s="1036"/>
      <c r="R133" s="1036"/>
      <c r="S133" s="1036"/>
      <c r="T133" s="1036"/>
      <c r="U133" s="1036"/>
      <c r="V133" s="1036"/>
      <c r="W133" s="1037"/>
      <c r="X133" s="1037"/>
      <c r="Y133" s="1037"/>
      <c r="Z133" s="1037"/>
      <c r="AA133" s="1037"/>
      <c r="AB133" s="1037"/>
      <c r="AC133" s="1037"/>
      <c r="AD133" s="1037"/>
      <c r="AE133" s="1037"/>
      <c r="AF133" s="1037"/>
      <c r="AG133" s="1038"/>
      <c r="AH133" s="1037"/>
      <c r="AI133" s="1037"/>
      <c r="AJ133" s="1037"/>
      <c r="AK133" s="1037"/>
    </row>
    <row r="134" spans="1:38" ht="28.5" customHeight="1" x14ac:dyDescent="0.2">
      <c r="A134" s="1363"/>
      <c r="B134" s="1363"/>
      <c r="C134" s="1363"/>
      <c r="D134" s="1364"/>
      <c r="E134" s="1364"/>
      <c r="F134" s="1377" t="s">
        <v>532</v>
      </c>
      <c r="G134" s="1377"/>
      <c r="H134" s="1377"/>
      <c r="I134" s="1377"/>
      <c r="J134" s="1377"/>
      <c r="K134" s="1377"/>
      <c r="L134" s="1377"/>
      <c r="M134" s="1377"/>
      <c r="N134" s="1377"/>
      <c r="O134" s="1377"/>
      <c r="P134" s="1377"/>
      <c r="Q134" s="1377"/>
      <c r="R134" s="1377"/>
      <c r="S134" s="1377"/>
      <c r="T134" s="1377"/>
      <c r="U134" s="1377"/>
      <c r="V134" s="702"/>
      <c r="W134" s="661">
        <f>+W131+W123</f>
        <v>400000000</v>
      </c>
      <c r="X134" s="661">
        <f>+X131+X123</f>
        <v>240000000</v>
      </c>
      <c r="Y134" s="661"/>
      <c r="Z134" s="661">
        <f t="shared" si="62"/>
        <v>640000000</v>
      </c>
      <c r="AA134" s="661">
        <f>+AA131+AA123</f>
        <v>400000000</v>
      </c>
      <c r="AB134" s="661">
        <f>+AB131+AB123</f>
        <v>240000000</v>
      </c>
      <c r="AC134" s="661"/>
      <c r="AD134" s="661">
        <f t="shared" si="64"/>
        <v>640000000</v>
      </c>
      <c r="AE134" s="661"/>
      <c r="AF134" s="661"/>
      <c r="AG134" s="786"/>
      <c r="AH134" s="661">
        <f>+AH131+AH123</f>
        <v>400000000</v>
      </c>
      <c r="AI134" s="661">
        <f>+AI131+AI123</f>
        <v>240000000</v>
      </c>
      <c r="AJ134" s="661"/>
      <c r="AK134" s="661">
        <f t="shared" si="65"/>
        <v>640000000</v>
      </c>
    </row>
    <row r="135" spans="1:38" ht="37.5" customHeight="1" x14ac:dyDescent="0.2">
      <c r="A135" s="1363" t="str">
        <f>+A116</f>
        <v>113 Bogotá reconoce a sus maestras, maestros y directivos docentes.</v>
      </c>
      <c r="B135" s="1363" t="str">
        <f>+B116</f>
        <v>Código 386 
Tres centros de Innovación que dinamizan las Estrategias y procesos en la Red de Innovación del Maestro</v>
      </c>
      <c r="C135" s="1363" t="str">
        <f>+C116</f>
        <v>Componente N° 2: Estrategia de Cualificación investigación e innovación docente: Comunidades de saber y de práctica pedagógica</v>
      </c>
      <c r="D135" s="1338" t="s">
        <v>506</v>
      </c>
      <c r="E135" s="1338" t="s">
        <v>506</v>
      </c>
      <c r="F135" s="1414" t="s">
        <v>770</v>
      </c>
      <c r="G135" s="730">
        <v>69</v>
      </c>
      <c r="H135" s="865">
        <v>337</v>
      </c>
      <c r="I135" s="735" t="s">
        <v>565</v>
      </c>
      <c r="J135" s="704">
        <v>82111901</v>
      </c>
      <c r="K135" s="598" t="s">
        <v>679</v>
      </c>
      <c r="L135" s="726">
        <v>30303</v>
      </c>
      <c r="M135" s="726" t="s">
        <v>790</v>
      </c>
      <c r="N135" s="709" t="s">
        <v>803</v>
      </c>
      <c r="O135" s="709" t="s">
        <v>804</v>
      </c>
      <c r="P135" s="599" t="s">
        <v>589</v>
      </c>
      <c r="Q135" s="601" t="s">
        <v>548</v>
      </c>
      <c r="R135" s="614" t="s">
        <v>548</v>
      </c>
      <c r="S135" s="612">
        <v>350</v>
      </c>
      <c r="T135" s="603">
        <v>0</v>
      </c>
      <c r="U135" s="818" t="s">
        <v>611</v>
      </c>
      <c r="V135" s="717" t="str">
        <f>IF(U135=listas!$C$1,listas!$B$1,IF(U135=listas!$C$2,listas!$B$2,IF(U135=listas!$C$3,listas!$B$3,IF(U135=listas!$C$4,listas!$B$4,IF(U135=listas!$C$5,listas!$B$5,IF(U135=listas!$C$6,listas!$B$6,IF(U135=listas!$C$7,listas!$B$7,IF(U135=listas!$C$8,listas!$B$8,""))))))))</f>
        <v/>
      </c>
      <c r="W135" s="653">
        <v>33477650</v>
      </c>
      <c r="X135" s="653"/>
      <c r="Y135" s="653"/>
      <c r="Z135" s="835">
        <f t="shared" ref="Z135:Z152" si="66">+W135+X135</f>
        <v>33477650</v>
      </c>
      <c r="AA135" s="653">
        <v>33477650</v>
      </c>
      <c r="AB135" s="653"/>
      <c r="AC135" s="653"/>
      <c r="AD135" s="653">
        <f t="shared" ref="AD135" si="67">+AA135+AB135</f>
        <v>33477650</v>
      </c>
      <c r="AE135" s="1130">
        <v>43116</v>
      </c>
      <c r="AF135" s="1129">
        <v>17</v>
      </c>
      <c r="AG135" s="782" t="s">
        <v>926</v>
      </c>
      <c r="AH135" s="653"/>
      <c r="AI135" s="653"/>
      <c r="AJ135" s="653"/>
      <c r="AK135" s="653"/>
    </row>
    <row r="136" spans="1:38" ht="30.75" customHeight="1" x14ac:dyDescent="0.2">
      <c r="A136" s="1363"/>
      <c r="B136" s="1363"/>
      <c r="C136" s="1363"/>
      <c r="D136" s="1338"/>
      <c r="E136" s="1338"/>
      <c r="F136" s="1415"/>
      <c r="G136" s="730">
        <v>70</v>
      </c>
      <c r="H136" s="865">
        <v>344</v>
      </c>
      <c r="I136" s="735" t="s">
        <v>566</v>
      </c>
      <c r="J136" s="704">
        <v>82141505</v>
      </c>
      <c r="K136" s="598" t="s">
        <v>679</v>
      </c>
      <c r="L136" s="726">
        <v>30303</v>
      </c>
      <c r="M136" s="726" t="s">
        <v>790</v>
      </c>
      <c r="N136" s="726" t="s">
        <v>805</v>
      </c>
      <c r="O136" s="726" t="s">
        <v>806</v>
      </c>
      <c r="P136" s="599" t="s">
        <v>589</v>
      </c>
      <c r="Q136" s="601" t="s">
        <v>548</v>
      </c>
      <c r="R136" s="614" t="s">
        <v>548</v>
      </c>
      <c r="S136" s="612">
        <v>350</v>
      </c>
      <c r="T136" s="603">
        <v>0</v>
      </c>
      <c r="U136" s="818" t="s">
        <v>611</v>
      </c>
      <c r="V136" s="717" t="str">
        <f>IF(U136=listas!$C$1,listas!$B$1,IF(U136=listas!$C$2,listas!$B$2,IF(U136=listas!$C$3,listas!$B$3,IF(U136=listas!$C$4,listas!$B$4,IF(U136=listas!$C$5,listas!$B$5,IF(U136=listas!$C$6,listas!$B$6,IF(U136=listas!$C$7,listas!$B$7,IF(U136=listas!$C$8,listas!$B$8,""))))))))</f>
        <v/>
      </c>
      <c r="W136" s="653">
        <v>24325950</v>
      </c>
      <c r="X136" s="653"/>
      <c r="Y136" s="653"/>
      <c r="Z136" s="835">
        <f t="shared" si="66"/>
        <v>24325950</v>
      </c>
      <c r="AA136" s="653">
        <v>24325950</v>
      </c>
      <c r="AB136" s="653"/>
      <c r="AC136" s="653"/>
      <c r="AD136" s="653">
        <f t="shared" ref="AD136" si="68">+AA136+AB136</f>
        <v>24325950</v>
      </c>
      <c r="AE136" s="1130">
        <v>43116</v>
      </c>
      <c r="AF136" s="1129">
        <v>16</v>
      </c>
      <c r="AG136" s="782" t="s">
        <v>908</v>
      </c>
      <c r="AH136" s="653"/>
      <c r="AI136" s="653"/>
      <c r="AJ136" s="653"/>
      <c r="AK136" s="653"/>
    </row>
    <row r="137" spans="1:38" ht="33.75" customHeight="1" x14ac:dyDescent="0.2">
      <c r="A137" s="1363"/>
      <c r="B137" s="1363"/>
      <c r="C137" s="1363"/>
      <c r="D137" s="1338"/>
      <c r="E137" s="1338"/>
      <c r="F137" s="1415"/>
      <c r="G137" s="730">
        <v>71</v>
      </c>
      <c r="H137" s="865">
        <v>339</v>
      </c>
      <c r="I137" s="735" t="s">
        <v>740</v>
      </c>
      <c r="J137" s="704">
        <v>80161500</v>
      </c>
      <c r="K137" s="611" t="s">
        <v>683</v>
      </c>
      <c r="L137" s="726">
        <v>30303</v>
      </c>
      <c r="M137" s="726" t="s">
        <v>790</v>
      </c>
      <c r="N137" s="709" t="s">
        <v>803</v>
      </c>
      <c r="O137" s="709" t="s">
        <v>804</v>
      </c>
      <c r="P137" s="599" t="s">
        <v>593</v>
      </c>
      <c r="Q137" s="601" t="s">
        <v>548</v>
      </c>
      <c r="R137" s="614" t="s">
        <v>548</v>
      </c>
      <c r="S137" s="612">
        <v>350</v>
      </c>
      <c r="T137" s="603">
        <v>0</v>
      </c>
      <c r="U137" s="818" t="s">
        <v>611</v>
      </c>
      <c r="V137" s="717" t="str">
        <f>IF(U137=listas!$C$1,listas!$B$1,IF(U137=listas!$C$2,listas!$B$2,IF(U137=listas!$C$3,listas!$B$3,IF(U137=listas!$C$4,listas!$B$4,IF(U137=listas!$C$5,listas!$B$5,IF(U137=listas!$C$6,listas!$B$6,IF(U137=listas!$C$7,listas!$B$7,IF(U137=listas!$C$8,listas!$B$8,""))))))))</f>
        <v/>
      </c>
      <c r="W137" s="653">
        <v>35045100</v>
      </c>
      <c r="X137" s="653"/>
      <c r="Y137" s="653"/>
      <c r="Z137" s="835">
        <f t="shared" si="66"/>
        <v>35045100</v>
      </c>
      <c r="AA137" s="653">
        <v>35045100</v>
      </c>
      <c r="AB137" s="653"/>
      <c r="AC137" s="653"/>
      <c r="AD137" s="653">
        <f t="shared" ref="AD137:AD138" si="69">+AA137+AB137</f>
        <v>35045100</v>
      </c>
      <c r="AE137" s="1130">
        <v>43110</v>
      </c>
      <c r="AF137" s="1129">
        <v>3</v>
      </c>
      <c r="AG137" s="782" t="s">
        <v>906</v>
      </c>
      <c r="AH137" s="653"/>
      <c r="AI137" s="653"/>
      <c r="AJ137" s="653"/>
      <c r="AK137" s="653"/>
    </row>
    <row r="138" spans="1:38" ht="27.75" customHeight="1" x14ac:dyDescent="0.2">
      <c r="A138" s="1363"/>
      <c r="B138" s="1363"/>
      <c r="C138" s="1363"/>
      <c r="D138" s="1338"/>
      <c r="E138" s="1338"/>
      <c r="F138" s="1415"/>
      <c r="G138" s="709">
        <v>136</v>
      </c>
      <c r="H138" s="865">
        <v>347</v>
      </c>
      <c r="I138" s="883" t="s">
        <v>785</v>
      </c>
      <c r="J138" s="709">
        <v>80161500</v>
      </c>
      <c r="K138" s="759" t="s">
        <v>683</v>
      </c>
      <c r="L138" s="709">
        <v>30303</v>
      </c>
      <c r="M138" s="709" t="s">
        <v>790</v>
      </c>
      <c r="N138" s="709" t="s">
        <v>803</v>
      </c>
      <c r="O138" s="709" t="s">
        <v>804</v>
      </c>
      <c r="P138" s="742" t="s">
        <v>593</v>
      </c>
      <c r="Q138" s="639" t="s">
        <v>784</v>
      </c>
      <c r="R138" s="639" t="s">
        <v>784</v>
      </c>
      <c r="S138" s="758">
        <v>6</v>
      </c>
      <c r="T138" s="597">
        <v>1</v>
      </c>
      <c r="U138" s="818" t="s">
        <v>611</v>
      </c>
      <c r="V138" s="717" t="str">
        <f>IF(U138=listas!$C$1,listas!$B$1,IF(U138=listas!$C$2,listas!$B$2,IF(U138=listas!$C$3,listas!$B$3,IF(U138=listas!$C$4,listas!$B$4,IF(U138=listas!$C$5,listas!$B$5,IF(U138=listas!$C$6,listas!$B$6,IF(U138=listas!$C$7,listas!$B$7,IF(U138=listas!$C$8,listas!$B$8,""))))))))</f>
        <v/>
      </c>
      <c r="W138" s="668">
        <v>16406082</v>
      </c>
      <c r="X138" s="667"/>
      <c r="Y138" s="667"/>
      <c r="Z138" s="835">
        <f t="shared" ref="Z138" si="70">+W138+X138</f>
        <v>16406082</v>
      </c>
      <c r="AA138" s="668">
        <v>16406082</v>
      </c>
      <c r="AB138" s="667"/>
      <c r="AC138" s="667"/>
      <c r="AD138" s="653">
        <f t="shared" si="69"/>
        <v>16406082</v>
      </c>
      <c r="AE138" s="1130" t="s">
        <v>912</v>
      </c>
      <c r="AF138" s="1129">
        <v>41</v>
      </c>
      <c r="AG138" s="1035" t="s">
        <v>911</v>
      </c>
      <c r="AH138" s="667"/>
      <c r="AI138" s="653"/>
      <c r="AJ138" s="653"/>
      <c r="AK138" s="653"/>
    </row>
    <row r="139" spans="1:38" ht="40.5" customHeight="1" x14ac:dyDescent="0.2">
      <c r="A139" s="1363"/>
      <c r="B139" s="1363"/>
      <c r="C139" s="1363"/>
      <c r="D139" s="1338"/>
      <c r="E139" s="1338"/>
      <c r="F139" s="1415"/>
      <c r="G139" s="730">
        <v>72</v>
      </c>
      <c r="H139" s="865">
        <v>341</v>
      </c>
      <c r="I139" s="735" t="s">
        <v>684</v>
      </c>
      <c r="J139" s="704">
        <v>81111800</v>
      </c>
      <c r="K139" s="598" t="s">
        <v>679</v>
      </c>
      <c r="L139" s="726">
        <v>30303</v>
      </c>
      <c r="M139" s="726" t="s">
        <v>790</v>
      </c>
      <c r="N139" s="709" t="s">
        <v>803</v>
      </c>
      <c r="O139" s="709" t="s">
        <v>804</v>
      </c>
      <c r="P139" s="599" t="s">
        <v>589</v>
      </c>
      <c r="Q139" s="601" t="s">
        <v>548</v>
      </c>
      <c r="R139" s="614" t="s">
        <v>548</v>
      </c>
      <c r="S139" s="612">
        <v>350</v>
      </c>
      <c r="T139" s="603">
        <v>0</v>
      </c>
      <c r="U139" s="818" t="s">
        <v>611</v>
      </c>
      <c r="V139" s="717" t="str">
        <f>IF(U139=listas!$C$1,listas!$B$1,IF(U139=listas!$C$2,listas!$B$2,IF(U139=listas!$C$3,listas!$B$3,IF(U139=listas!$C$4,listas!$B$4,IF(U139=listas!$C$5,listas!$B$5,IF(U139=listas!$C$6,listas!$B$6,IF(U139=listas!$C$7,listas!$B$7,IF(U139=listas!$C$8,listas!$B$8,""))))))))</f>
        <v/>
      </c>
      <c r="W139" s="653">
        <v>32890000</v>
      </c>
      <c r="X139" s="653"/>
      <c r="Y139" s="653"/>
      <c r="Z139" s="835">
        <f t="shared" si="66"/>
        <v>32890000</v>
      </c>
      <c r="AA139" s="653">
        <v>32890000</v>
      </c>
      <c r="AB139" s="653"/>
      <c r="AC139" s="653"/>
      <c r="AD139" s="653">
        <f t="shared" ref="AD139:AD140" si="71">+AA139+AB139</f>
        <v>32890000</v>
      </c>
      <c r="AE139" s="1130">
        <v>43111</v>
      </c>
      <c r="AF139" s="1129">
        <v>9</v>
      </c>
      <c r="AG139" s="782" t="s">
        <v>907</v>
      </c>
      <c r="AH139" s="653"/>
      <c r="AI139" s="653"/>
      <c r="AJ139" s="653"/>
      <c r="AK139" s="653"/>
    </row>
    <row r="140" spans="1:38" ht="29.25" customHeight="1" x14ac:dyDescent="0.2">
      <c r="A140" s="1363"/>
      <c r="B140" s="1363"/>
      <c r="C140" s="1363"/>
      <c r="D140" s="1338"/>
      <c r="E140" s="1338"/>
      <c r="F140" s="1415"/>
      <c r="G140" s="730">
        <v>73</v>
      </c>
      <c r="H140" s="865">
        <v>342</v>
      </c>
      <c r="I140" s="735" t="s">
        <v>685</v>
      </c>
      <c r="J140" s="704">
        <v>82141505</v>
      </c>
      <c r="K140" s="598" t="s">
        <v>682</v>
      </c>
      <c r="L140" s="726">
        <v>3031701</v>
      </c>
      <c r="M140" s="726" t="s">
        <v>808</v>
      </c>
      <c r="N140" s="726" t="s">
        <v>805</v>
      </c>
      <c r="O140" s="726" t="s">
        <v>806</v>
      </c>
      <c r="P140" s="599" t="s">
        <v>592</v>
      </c>
      <c r="Q140" s="605" t="s">
        <v>548</v>
      </c>
      <c r="R140" s="606" t="s">
        <v>548</v>
      </c>
      <c r="S140" s="612">
        <v>11</v>
      </c>
      <c r="T140" s="603">
        <v>1</v>
      </c>
      <c r="U140" s="818" t="s">
        <v>611</v>
      </c>
      <c r="V140" s="717" t="str">
        <f>IF(U140=listas!$C$1,listas!$B$1,IF(U140=listas!$C$2,listas!$B$2,IF(U140=listas!$C$3,listas!$B$3,IF(U140=listas!$C$4,listas!$B$4,IF(U140=listas!$C$5,listas!$B$5,IF(U140=listas!$C$6,listas!$B$6,IF(U140=listas!$C$7,listas!$B$7,IF(U140=listas!$C$8,listas!$B$8,""))))))))</f>
        <v/>
      </c>
      <c r="W140" s="653">
        <v>13817143</v>
      </c>
      <c r="X140" s="653"/>
      <c r="Y140" s="653"/>
      <c r="Z140" s="835">
        <f t="shared" si="66"/>
        <v>13817143</v>
      </c>
      <c r="AA140" s="653">
        <v>13817143</v>
      </c>
      <c r="AB140" s="653"/>
      <c r="AC140" s="653"/>
      <c r="AD140" s="653">
        <f t="shared" si="71"/>
        <v>13817143</v>
      </c>
      <c r="AE140" s="1130">
        <v>43123</v>
      </c>
      <c r="AF140" s="1129">
        <v>50</v>
      </c>
      <c r="AG140" s="782" t="s">
        <v>913</v>
      </c>
      <c r="AH140" s="653"/>
      <c r="AI140" s="653"/>
      <c r="AJ140" s="653"/>
      <c r="AK140" s="653"/>
    </row>
    <row r="141" spans="1:38" ht="30.75" customHeight="1" x14ac:dyDescent="0.2">
      <c r="A141" s="1363"/>
      <c r="B141" s="1363"/>
      <c r="C141" s="1363"/>
      <c r="D141" s="1338"/>
      <c r="E141" s="1338"/>
      <c r="F141" s="1415"/>
      <c r="G141" s="730">
        <v>74</v>
      </c>
      <c r="H141" s="865">
        <v>343</v>
      </c>
      <c r="I141" s="735" t="s">
        <v>752</v>
      </c>
      <c r="J141" s="709" t="s">
        <v>750</v>
      </c>
      <c r="K141" s="595" t="s">
        <v>682</v>
      </c>
      <c r="L141" s="709">
        <v>3031702</v>
      </c>
      <c r="M141" s="709" t="s">
        <v>809</v>
      </c>
      <c r="N141" s="709" t="s">
        <v>805</v>
      </c>
      <c r="O141" s="709" t="s">
        <v>806</v>
      </c>
      <c r="P141" s="742" t="s">
        <v>592</v>
      </c>
      <c r="Q141" s="756" t="s">
        <v>548</v>
      </c>
      <c r="R141" s="832" t="s">
        <v>548</v>
      </c>
      <c r="S141" s="758">
        <v>11</v>
      </c>
      <c r="T141" s="597">
        <v>1</v>
      </c>
      <c r="U141" s="872" t="s">
        <v>611</v>
      </c>
      <c r="V141" s="717" t="str">
        <f>IF(U141=listas!$C$1,listas!$B$1,IF(U141=listas!$C$2,listas!$B$2,IF(U141=listas!$C$3,listas!$B$3,IF(U141=listas!$C$4,listas!$B$4,IF(U141=listas!$C$5,listas!$B$5,IF(U141=listas!$C$6,listas!$B$6,IF(U141=listas!$C$7,listas!$B$7,IF(U141=listas!$C$8,listas!$B$8,""))))))))</f>
        <v/>
      </c>
      <c r="W141" s="754">
        <f>20382489-42214</f>
        <v>20340275</v>
      </c>
      <c r="X141" s="754"/>
      <c r="Y141" s="754"/>
      <c r="Z141" s="835">
        <f t="shared" si="66"/>
        <v>20340275</v>
      </c>
      <c r="AA141" s="653">
        <f>20382489-42214</f>
        <v>20340275</v>
      </c>
      <c r="AB141" s="653"/>
      <c r="AC141" s="653"/>
      <c r="AD141" s="653">
        <f t="shared" ref="AD141:AD142" si="72">+AA141+AB141</f>
        <v>20340275</v>
      </c>
      <c r="AE141" s="1130">
        <v>43122</v>
      </c>
      <c r="AF141" s="1129">
        <v>33</v>
      </c>
      <c r="AG141" s="782" t="s">
        <v>910</v>
      </c>
      <c r="AH141" s="653"/>
      <c r="AI141" s="653"/>
      <c r="AJ141" s="653"/>
      <c r="AK141" s="653"/>
    </row>
    <row r="142" spans="1:38" ht="29.25" customHeight="1" x14ac:dyDescent="0.2">
      <c r="A142" s="1363"/>
      <c r="B142" s="1363"/>
      <c r="C142" s="1363"/>
      <c r="D142" s="1338"/>
      <c r="E142" s="1338"/>
      <c r="F142" s="1415"/>
      <c r="G142" s="730">
        <v>75</v>
      </c>
      <c r="H142" s="834">
        <v>191</v>
      </c>
      <c r="I142" s="735" t="s">
        <v>686</v>
      </c>
      <c r="J142" s="1043" t="s">
        <v>568</v>
      </c>
      <c r="K142" s="595" t="s">
        <v>682</v>
      </c>
      <c r="L142" s="1043">
        <v>3031703</v>
      </c>
      <c r="M142" s="1043" t="s">
        <v>810</v>
      </c>
      <c r="N142" s="1043" t="s">
        <v>805</v>
      </c>
      <c r="O142" s="1043" t="s">
        <v>806</v>
      </c>
      <c r="P142" s="742" t="s">
        <v>592</v>
      </c>
      <c r="Q142" s="756" t="s">
        <v>548</v>
      </c>
      <c r="R142" s="832" t="s">
        <v>548</v>
      </c>
      <c r="S142" s="758">
        <v>11</v>
      </c>
      <c r="T142" s="597">
        <v>1</v>
      </c>
      <c r="U142" s="1059" t="s">
        <v>611</v>
      </c>
      <c r="V142" s="717" t="str">
        <f>IF(U142=listas!$C$1,listas!$B$1,IF(U142=listas!$C$2,listas!$B$2,IF(U142=listas!$C$3,listas!$B$3,IF(U142=listas!$C$4,listas!$B$4,IF(U142=listas!$C$5,listas!$B$5,IF(U142=listas!$C$6,listas!$B$6,IF(U142=listas!$C$7,listas!$B$7,IF(U142=listas!$C$8,listas!$B$8,""))))))))</f>
        <v/>
      </c>
      <c r="W142" s="754">
        <f>35721600-8121600</f>
        <v>27600000</v>
      </c>
      <c r="X142" s="653"/>
      <c r="Y142" s="653"/>
      <c r="Z142" s="835">
        <f t="shared" si="66"/>
        <v>27600000</v>
      </c>
      <c r="AA142" s="653">
        <f>35721600-8121600</f>
        <v>27600000</v>
      </c>
      <c r="AB142" s="653"/>
      <c r="AC142" s="653"/>
      <c r="AD142" s="653">
        <f t="shared" si="72"/>
        <v>27600000</v>
      </c>
      <c r="AE142" s="1130">
        <v>43122</v>
      </c>
      <c r="AF142" s="1129">
        <v>34</v>
      </c>
      <c r="AG142" s="782" t="s">
        <v>927</v>
      </c>
      <c r="AH142" s="653"/>
      <c r="AI142" s="653"/>
      <c r="AJ142" s="653"/>
      <c r="AK142" s="653"/>
    </row>
    <row r="143" spans="1:38" ht="27.75" customHeight="1" x14ac:dyDescent="0.2">
      <c r="A143" s="1363"/>
      <c r="B143" s="1363"/>
      <c r="C143" s="1363"/>
      <c r="D143" s="1338"/>
      <c r="E143" s="1338"/>
      <c r="F143" s="1415"/>
      <c r="G143" s="709">
        <v>149</v>
      </c>
      <c r="H143" s="709">
        <v>192</v>
      </c>
      <c r="I143" s="735" t="s">
        <v>946</v>
      </c>
      <c r="J143" s="909" t="s">
        <v>1086</v>
      </c>
      <c r="K143" s="595" t="s">
        <v>682</v>
      </c>
      <c r="L143" s="909">
        <v>30303</v>
      </c>
      <c r="M143" s="709" t="s">
        <v>790</v>
      </c>
      <c r="N143" s="709" t="s">
        <v>1084</v>
      </c>
      <c r="O143" s="709" t="s">
        <v>1085</v>
      </c>
      <c r="P143" s="742" t="s">
        <v>592</v>
      </c>
      <c r="Q143" s="760" t="s">
        <v>101</v>
      </c>
      <c r="R143" s="760" t="s">
        <v>59</v>
      </c>
      <c r="S143" s="910">
        <v>3</v>
      </c>
      <c r="T143" s="597">
        <v>1</v>
      </c>
      <c r="U143" s="1011" t="s">
        <v>597</v>
      </c>
      <c r="V143" s="717" t="str">
        <f>IF(U143=listas!$C$1,listas!$B$1,IF(U143=listas!$C$2,listas!$B$2,IF(U143=listas!$C$3,listas!$B$3,IF(U143=listas!$C$4,listas!$B$4,IF(U143=listas!$C$5,listas!$B$5,IF(U143=listas!$C$6,listas!$B$6,IF(U143=listas!$C$7,listas!$B$7,IF(U143=listas!$C$8,listas!$B$8,""))))))))</f>
        <v>CCE-10</v>
      </c>
      <c r="W143" s="754">
        <v>5699996</v>
      </c>
      <c r="X143" s="754"/>
      <c r="Y143" s="754"/>
      <c r="Z143" s="835">
        <f t="shared" si="66"/>
        <v>5699996</v>
      </c>
      <c r="AA143" s="653">
        <v>5699996</v>
      </c>
      <c r="AB143" s="653"/>
      <c r="AC143" s="653"/>
      <c r="AD143" s="653">
        <f>+AA143+AB143+AC143</f>
        <v>5699996</v>
      </c>
      <c r="AE143" s="1130">
        <v>43356</v>
      </c>
      <c r="AF143" s="1128">
        <v>114</v>
      </c>
      <c r="AG143" s="653" t="s">
        <v>1100</v>
      </c>
      <c r="AH143" s="653"/>
      <c r="AI143" s="653"/>
      <c r="AJ143" s="653"/>
      <c r="AK143" s="653"/>
    </row>
    <row r="144" spans="1:38" ht="0.75" customHeight="1" x14ac:dyDescent="0.2">
      <c r="A144" s="1363"/>
      <c r="B144" s="1363"/>
      <c r="C144" s="1363"/>
      <c r="D144" s="1338"/>
      <c r="E144" s="1338"/>
      <c r="F144" s="1415"/>
      <c r="G144" s="709"/>
      <c r="H144" s="709"/>
      <c r="I144" s="1012" t="s">
        <v>1099</v>
      </c>
      <c r="J144" s="909"/>
      <c r="K144" s="595"/>
      <c r="L144" s="909"/>
      <c r="M144" s="709"/>
      <c r="N144" s="709"/>
      <c r="O144" s="709"/>
      <c r="P144" s="742"/>
      <c r="Q144" s="760"/>
      <c r="R144" s="760"/>
      <c r="S144" s="910"/>
      <c r="T144" s="597"/>
      <c r="U144" s="1011"/>
      <c r="V144" s="717"/>
      <c r="W144" s="1028">
        <f>7018058-AA143-1318062</f>
        <v>0</v>
      </c>
      <c r="X144" s="754"/>
      <c r="Y144" s="754"/>
      <c r="Z144" s="835">
        <f>+W144+X144+Y144</f>
        <v>0</v>
      </c>
      <c r="AA144" s="653"/>
      <c r="AB144" s="653"/>
      <c r="AC144" s="653"/>
      <c r="AD144" s="653"/>
      <c r="AE144" s="1130"/>
      <c r="AF144" s="1128"/>
      <c r="AG144" s="782"/>
      <c r="AH144" s="653"/>
      <c r="AI144" s="653"/>
      <c r="AJ144" s="653"/>
      <c r="AK144" s="653"/>
    </row>
    <row r="145" spans="1:40" ht="39" customHeight="1" x14ac:dyDescent="0.2">
      <c r="A145" s="1363"/>
      <c r="B145" s="1363"/>
      <c r="C145" s="1363"/>
      <c r="D145" s="1338"/>
      <c r="E145" s="1338"/>
      <c r="F145" s="1415"/>
      <c r="G145" s="709">
        <v>48</v>
      </c>
      <c r="H145" s="865">
        <v>327</v>
      </c>
      <c r="I145" s="735" t="s">
        <v>678</v>
      </c>
      <c r="J145" s="709">
        <v>80111621</v>
      </c>
      <c r="K145" s="595" t="s">
        <v>679</v>
      </c>
      <c r="L145" s="709">
        <v>30303</v>
      </c>
      <c r="M145" s="709" t="s">
        <v>790</v>
      </c>
      <c r="N145" s="709" t="s">
        <v>774</v>
      </c>
      <c r="O145" s="709" t="s">
        <v>818</v>
      </c>
      <c r="P145" s="742" t="s">
        <v>589</v>
      </c>
      <c r="Q145" s="756" t="s">
        <v>548</v>
      </c>
      <c r="R145" s="832" t="s">
        <v>548</v>
      </c>
      <c r="S145" s="758">
        <v>11</v>
      </c>
      <c r="T145" s="597">
        <v>1</v>
      </c>
      <c r="U145" s="831" t="s">
        <v>611</v>
      </c>
      <c r="V145" s="717" t="str">
        <f>IF(U145=listas!$C$1,listas!$B$1,IF(U145=listas!$C$2,listas!$B$2,IF(U145=listas!$C$3,listas!$B$3,IF(U145=listas!$C$4,listas!$B$4,IF(U145=listas!$C$5,listas!$B$5,IF(U145=listas!$C$6,listas!$B$6,IF(U145=listas!$C$7,listas!$B$7,IF(U145=listas!$C$8,listas!$B$8,""))))))))</f>
        <v/>
      </c>
      <c r="W145" s="754">
        <f>47330687+42214+7610+8121600</f>
        <v>55502111</v>
      </c>
      <c r="X145" s="754"/>
      <c r="Y145" s="754"/>
      <c r="Z145" s="835">
        <f t="shared" si="66"/>
        <v>55502111</v>
      </c>
      <c r="AA145" s="653">
        <f>47330687+42214+7610+8121600</f>
        <v>55502111</v>
      </c>
      <c r="AB145" s="653"/>
      <c r="AC145" s="653"/>
      <c r="AD145" s="653">
        <f t="shared" ref="AD145" si="73">+AA145+AB145</f>
        <v>55502111</v>
      </c>
      <c r="AE145" s="1130">
        <v>43119</v>
      </c>
      <c r="AF145" s="1129">
        <v>31</v>
      </c>
      <c r="AG145" s="784" t="s">
        <v>886</v>
      </c>
      <c r="AH145" s="653"/>
      <c r="AI145" s="653"/>
      <c r="AJ145" s="653"/>
      <c r="AK145" s="653"/>
    </row>
    <row r="146" spans="1:40" ht="30.75" customHeight="1" x14ac:dyDescent="0.2">
      <c r="A146" s="1363"/>
      <c r="B146" s="1363"/>
      <c r="C146" s="1363"/>
      <c r="D146" s="1338"/>
      <c r="E146" s="1338"/>
      <c r="F146" s="1415"/>
      <c r="G146" s="709">
        <v>77</v>
      </c>
      <c r="H146" s="709">
        <v>194</v>
      </c>
      <c r="I146" s="735" t="s">
        <v>687</v>
      </c>
      <c r="J146" s="709">
        <v>43231512</v>
      </c>
      <c r="K146" s="677" t="s">
        <v>683</v>
      </c>
      <c r="L146" s="709">
        <v>20202</v>
      </c>
      <c r="M146" s="709" t="s">
        <v>819</v>
      </c>
      <c r="N146" s="709" t="s">
        <v>775</v>
      </c>
      <c r="O146" s="709" t="s">
        <v>812</v>
      </c>
      <c r="P146" s="742" t="s">
        <v>593</v>
      </c>
      <c r="Q146" s="756" t="s">
        <v>947</v>
      </c>
      <c r="R146" s="757" t="s">
        <v>550</v>
      </c>
      <c r="S146" s="758">
        <v>12</v>
      </c>
      <c r="T146" s="597">
        <v>1</v>
      </c>
      <c r="U146" s="907" t="s">
        <v>950</v>
      </c>
      <c r="V146" s="717" t="str">
        <f>IF(U146=listas!$C$1,listas!$B$1,IF(U146=listas!$C$2,listas!$B$2,IF(U146=listas!$C$3,listas!$B$3,IF(U146=listas!$C$4,listas!$B$4,IF(U146=listas!$C$5,listas!$B$5,IF(U146=listas!$C$6,listas!$B$6,IF(U146=listas!$C$7,listas!$B$7,IF(U146=listas!$C$8,listas!$B$8,""))))))))</f>
        <v>CCE-07</v>
      </c>
      <c r="W146" s="754">
        <f>26000000-26000000</f>
        <v>0</v>
      </c>
      <c r="X146" s="754"/>
      <c r="Y146" s="754"/>
      <c r="Z146" s="835">
        <f t="shared" si="66"/>
        <v>0</v>
      </c>
      <c r="AA146" s="653"/>
      <c r="AB146" s="653"/>
      <c r="AC146" s="653"/>
      <c r="AD146" s="653"/>
      <c r="AE146" s="1130"/>
      <c r="AF146" s="1129"/>
      <c r="AG146" s="782"/>
      <c r="AH146" s="653"/>
      <c r="AI146" s="653"/>
      <c r="AJ146" s="653"/>
      <c r="AK146" s="653"/>
    </row>
    <row r="147" spans="1:40" s="636" customFormat="1" ht="29.25" customHeight="1" x14ac:dyDescent="0.2">
      <c r="A147" s="1363"/>
      <c r="B147" s="1363"/>
      <c r="C147" s="1363"/>
      <c r="D147" s="1338"/>
      <c r="E147" s="1338"/>
      <c r="F147" s="1415"/>
      <c r="G147" s="709">
        <v>113</v>
      </c>
      <c r="H147" s="709">
        <v>328</v>
      </c>
      <c r="I147" s="735" t="s">
        <v>570</v>
      </c>
      <c r="J147" s="709">
        <v>80161500</v>
      </c>
      <c r="K147" s="677" t="s">
        <v>683</v>
      </c>
      <c r="L147" s="709">
        <v>30303</v>
      </c>
      <c r="M147" s="709" t="s">
        <v>790</v>
      </c>
      <c r="N147" s="709" t="s">
        <v>803</v>
      </c>
      <c r="O147" s="709" t="s">
        <v>804</v>
      </c>
      <c r="P147" s="742" t="s">
        <v>593</v>
      </c>
      <c r="Q147" s="756" t="s">
        <v>358</v>
      </c>
      <c r="R147" s="757" t="s">
        <v>358</v>
      </c>
      <c r="S147" s="758">
        <v>5</v>
      </c>
      <c r="T147" s="597">
        <v>1</v>
      </c>
      <c r="U147" s="907" t="s">
        <v>611</v>
      </c>
      <c r="V147" s="717" t="str">
        <f>IF(U147=listas!$C$1,listas!$B$1,IF(U147=listas!$C$2,listas!$B$2,IF(U147=listas!$C$3,listas!$B$3,IF(U147=listas!$C$4,listas!$B$4,IF(U147=listas!$C$5,listas!$B$5,IF(U147=listas!$C$6,listas!$B$6,IF(U147=listas!$C$7,listas!$B$7,IF(U147=listas!$C$8,listas!$B$8,""))))))))</f>
        <v/>
      </c>
      <c r="W147" s="754">
        <f>48025921-16406082-31619839</f>
        <v>0</v>
      </c>
      <c r="X147" s="754"/>
      <c r="Y147" s="754"/>
      <c r="Z147" s="835">
        <f t="shared" si="66"/>
        <v>0</v>
      </c>
      <c r="AA147" s="653"/>
      <c r="AB147" s="653"/>
      <c r="AC147" s="653"/>
      <c r="AD147" s="653"/>
      <c r="AE147" s="1130"/>
      <c r="AF147" s="1129"/>
      <c r="AG147" s="782"/>
      <c r="AH147" s="653"/>
      <c r="AI147" s="653"/>
      <c r="AJ147" s="653"/>
      <c r="AK147" s="653"/>
      <c r="AL147" s="1140"/>
      <c r="AM147" s="1140"/>
      <c r="AN147" s="1140"/>
    </row>
    <row r="148" spans="1:40" s="636" customFormat="1" ht="24" customHeight="1" x14ac:dyDescent="0.2">
      <c r="A148" s="1363"/>
      <c r="B148" s="1363"/>
      <c r="C148" s="1363"/>
      <c r="D148" s="1338"/>
      <c r="E148" s="1338"/>
      <c r="F148" s="1415"/>
      <c r="G148" s="730">
        <v>114</v>
      </c>
      <c r="H148" s="863"/>
      <c r="I148" s="735" t="s">
        <v>697</v>
      </c>
      <c r="J148" s="704">
        <v>80151504</v>
      </c>
      <c r="K148" s="598" t="s">
        <v>683</v>
      </c>
      <c r="L148" s="726">
        <v>30303</v>
      </c>
      <c r="M148" s="726" t="s">
        <v>790</v>
      </c>
      <c r="N148" s="709" t="s">
        <v>778</v>
      </c>
      <c r="O148" s="709" t="s">
        <v>820</v>
      </c>
      <c r="P148" s="599" t="s">
        <v>593</v>
      </c>
      <c r="Q148" s="605" t="s">
        <v>548</v>
      </c>
      <c r="R148" s="614" t="s">
        <v>548</v>
      </c>
      <c r="S148" s="612">
        <v>1</v>
      </c>
      <c r="T148" s="603">
        <v>1</v>
      </c>
      <c r="U148" s="603" t="s">
        <v>572</v>
      </c>
      <c r="V148" s="648"/>
      <c r="W148" s="653">
        <v>3053754</v>
      </c>
      <c r="X148" s="653"/>
      <c r="Y148" s="653"/>
      <c r="Z148" s="835">
        <f t="shared" si="66"/>
        <v>3053754</v>
      </c>
      <c r="AA148" s="653">
        <v>3053754</v>
      </c>
      <c r="AB148" s="653"/>
      <c r="AC148" s="653"/>
      <c r="AD148" s="653">
        <f t="shared" ref="AD148" si="74">+AA148+AB148</f>
        <v>3053754</v>
      </c>
      <c r="AE148" s="1130">
        <v>43124</v>
      </c>
      <c r="AF148" s="1129"/>
      <c r="AG148" s="782" t="s">
        <v>933</v>
      </c>
      <c r="AH148" s="819"/>
      <c r="AI148" s="819"/>
      <c r="AJ148" s="819"/>
      <c r="AK148" s="819"/>
      <c r="AL148" s="1140"/>
      <c r="AM148" s="1140"/>
      <c r="AN148" s="1140"/>
    </row>
    <row r="149" spans="1:40" s="636" customFormat="1" ht="20.25" customHeight="1" x14ac:dyDescent="0.2">
      <c r="A149" s="1363"/>
      <c r="B149" s="1363"/>
      <c r="C149" s="1363"/>
      <c r="D149" s="1338"/>
      <c r="E149" s="1338"/>
      <c r="F149" s="1415"/>
      <c r="G149" s="1061"/>
      <c r="H149" s="1062"/>
      <c r="I149" s="884" t="s">
        <v>1158</v>
      </c>
      <c r="J149" s="1146"/>
      <c r="K149" s="595"/>
      <c r="L149" s="1043"/>
      <c r="M149" s="1043"/>
      <c r="N149" s="1146"/>
      <c r="O149" s="1043"/>
      <c r="P149" s="750"/>
      <c r="Q149" s="1150"/>
      <c r="R149" s="1151"/>
      <c r="S149" s="1152"/>
      <c r="T149" s="752"/>
      <c r="U149" s="597"/>
      <c r="V149" s="1153"/>
      <c r="W149" s="754">
        <f>3200000-3053754</f>
        <v>146246</v>
      </c>
      <c r="X149" s="754"/>
      <c r="Y149" s="754"/>
      <c r="Z149" s="835">
        <f>+W149+X149+Y149</f>
        <v>146246</v>
      </c>
      <c r="AA149" s="653"/>
      <c r="AB149" s="653"/>
      <c r="AC149" s="653"/>
      <c r="AD149" s="653"/>
      <c r="AE149" s="1130"/>
      <c r="AF149" s="1129"/>
      <c r="AG149" s="782"/>
      <c r="AH149" s="819"/>
      <c r="AI149" s="819"/>
      <c r="AJ149" s="819"/>
      <c r="AK149" s="819"/>
      <c r="AL149" s="1140"/>
      <c r="AM149" s="1140"/>
      <c r="AN149" s="1140"/>
    </row>
    <row r="150" spans="1:40" s="636" customFormat="1" ht="39" customHeight="1" x14ac:dyDescent="0.2">
      <c r="A150" s="1363"/>
      <c r="B150" s="1363"/>
      <c r="C150" s="1363"/>
      <c r="D150" s="1338"/>
      <c r="E150" s="1338"/>
      <c r="F150" s="1415"/>
      <c r="G150" s="709">
        <v>149</v>
      </c>
      <c r="H150" s="901"/>
      <c r="I150" s="884" t="s">
        <v>1010</v>
      </c>
      <c r="J150" s="938">
        <v>80161500</v>
      </c>
      <c r="K150" s="759" t="s">
        <v>716</v>
      </c>
      <c r="L150" s="709">
        <v>30303</v>
      </c>
      <c r="M150" s="709" t="s">
        <v>790</v>
      </c>
      <c r="N150" s="938">
        <v>2.1</v>
      </c>
      <c r="O150" s="709" t="s">
        <v>807</v>
      </c>
      <c r="P150" s="930" t="s">
        <v>647</v>
      </c>
      <c r="Q150" s="928" t="s">
        <v>101</v>
      </c>
      <c r="R150" s="928" t="s">
        <v>101</v>
      </c>
      <c r="S150" s="929">
        <v>2</v>
      </c>
      <c r="T150" s="752">
        <v>1</v>
      </c>
      <c r="U150" s="939" t="s">
        <v>611</v>
      </c>
      <c r="V150" s="717" t="str">
        <f>IF(U150=listas!$C$1,listas!$B$1,IF(U150=listas!$C$2,listas!$B$2,IF(U150=listas!$C$3,listas!$B$3,IF(U150=listas!$C$4,listas!$B$4,IF(U150=listas!$C$5,listas!$B$5,IF(U150=listas!$C$6,listas!$B$6,IF(U150=listas!$C$7,listas!$B$7,IF(U150=listas!$C$8,listas!$B$8,""))))))))</f>
        <v/>
      </c>
      <c r="W150" s="754">
        <v>4500000</v>
      </c>
      <c r="X150" s="754"/>
      <c r="Y150" s="754"/>
      <c r="Z150" s="835">
        <f>+W150+X150+Y150</f>
        <v>4500000</v>
      </c>
      <c r="AA150" s="754">
        <v>4500000</v>
      </c>
      <c r="AB150" s="754"/>
      <c r="AC150" s="754"/>
      <c r="AD150" s="754">
        <f>+AA150+AB150+AC150</f>
        <v>4500000</v>
      </c>
      <c r="AE150" s="1130">
        <v>43341</v>
      </c>
      <c r="AF150" s="1128">
        <v>112</v>
      </c>
      <c r="AG150" s="784" t="s">
        <v>1089</v>
      </c>
      <c r="AH150" s="819"/>
      <c r="AI150" s="819"/>
      <c r="AJ150" s="819"/>
      <c r="AK150" s="819"/>
      <c r="AL150" s="1140"/>
      <c r="AM150" s="1140"/>
      <c r="AN150" s="1140"/>
    </row>
    <row r="151" spans="1:40" s="636" customFormat="1" ht="51" customHeight="1" x14ac:dyDescent="0.2">
      <c r="A151" s="1363"/>
      <c r="B151" s="1363"/>
      <c r="C151" s="1363"/>
      <c r="D151" s="1338"/>
      <c r="E151" s="1338"/>
      <c r="F151" s="1415"/>
      <c r="G151" s="709">
        <v>149</v>
      </c>
      <c r="H151" s="901"/>
      <c r="I151" s="884" t="s">
        <v>1022</v>
      </c>
      <c r="J151" s="1024">
        <v>8011621</v>
      </c>
      <c r="K151" s="759" t="s">
        <v>1063</v>
      </c>
      <c r="L151" s="709">
        <v>30303</v>
      </c>
      <c r="M151" s="709" t="s">
        <v>790</v>
      </c>
      <c r="N151" s="1024">
        <v>2.4</v>
      </c>
      <c r="O151" s="709" t="s">
        <v>1014</v>
      </c>
      <c r="P151" s="742" t="s">
        <v>587</v>
      </c>
      <c r="Q151" s="928" t="s">
        <v>551</v>
      </c>
      <c r="R151" s="928" t="s">
        <v>551</v>
      </c>
      <c r="S151" s="929">
        <v>4</v>
      </c>
      <c r="T151" s="752">
        <v>1</v>
      </c>
      <c r="U151" s="1026" t="s">
        <v>611</v>
      </c>
      <c r="V151" s="717" t="str">
        <f>IF(U151=listas!$C$1,listas!$B$1,IF(U151=listas!$C$2,listas!$B$2,IF(U151=listas!$C$3,listas!$B$3,IF(U151=listas!$C$4,listas!$B$4,IF(U151=listas!$C$5,listas!$B$5,IF(U151=listas!$C$6,listas!$B$6,IF(U151=listas!$C$7,listas!$B$7,IF(U151=listas!$C$8,listas!$B$8,""))))))))</f>
        <v/>
      </c>
      <c r="W151" s="754">
        <f>73303241-64799140-8504101</f>
        <v>0</v>
      </c>
      <c r="X151" s="754"/>
      <c r="Y151" s="754"/>
      <c r="Z151" s="835">
        <f>+W151+X151+Y151</f>
        <v>0</v>
      </c>
      <c r="AA151" s="653"/>
      <c r="AB151" s="653"/>
      <c r="AC151" s="653"/>
      <c r="AD151" s="653"/>
      <c r="AE151" s="1130"/>
      <c r="AF151" s="1129"/>
      <c r="AG151" s="782"/>
      <c r="AH151" s="819"/>
      <c r="AI151" s="819"/>
      <c r="AJ151" s="819"/>
      <c r="AK151" s="819"/>
      <c r="AL151" s="1140"/>
      <c r="AM151" s="1140"/>
      <c r="AN151" s="1140"/>
    </row>
    <row r="152" spans="1:40" ht="35.25" customHeight="1" x14ac:dyDescent="0.2">
      <c r="A152" s="1363"/>
      <c r="B152" s="1363"/>
      <c r="C152" s="1363"/>
      <c r="D152" s="1338"/>
      <c r="E152" s="1338"/>
      <c r="F152" s="1415"/>
      <c r="G152" s="730">
        <v>115</v>
      </c>
      <c r="H152" s="865">
        <v>329</v>
      </c>
      <c r="I152" s="735" t="s">
        <v>571</v>
      </c>
      <c r="J152" s="709">
        <v>80131502</v>
      </c>
      <c r="K152" s="595" t="s">
        <v>682</v>
      </c>
      <c r="L152" s="709">
        <v>30303</v>
      </c>
      <c r="M152" s="709" t="s">
        <v>790</v>
      </c>
      <c r="N152" s="709" t="s">
        <v>779</v>
      </c>
      <c r="O152" s="709" t="s">
        <v>821</v>
      </c>
      <c r="P152" s="742" t="s">
        <v>592</v>
      </c>
      <c r="Q152" s="756" t="s">
        <v>548</v>
      </c>
      <c r="R152" s="832" t="s">
        <v>549</v>
      </c>
      <c r="S152" s="758">
        <v>4</v>
      </c>
      <c r="T152" s="597">
        <v>1</v>
      </c>
      <c r="U152" s="1026" t="s">
        <v>611</v>
      </c>
      <c r="V152" s="717" t="str">
        <f>IF(U152=listas!$C$1,listas!$B$1,IF(U152=listas!$C$2,listas!$B$2,IF(U152=listas!$C$3,listas!$B$3,IF(U152=listas!$C$4,listas!$B$4,IF(U152=listas!$C$5,listas!$B$5,IF(U152=listas!$C$6,listas!$B$6,IF(U152=listas!$C$7,listas!$B$7,IF(U152=listas!$C$8,listas!$B$8,""))))))))</f>
        <v/>
      </c>
      <c r="W152" s="754">
        <f>12360000-7610</f>
        <v>12352390</v>
      </c>
      <c r="X152" s="754"/>
      <c r="Y152" s="653"/>
      <c r="Z152" s="835">
        <f t="shared" si="66"/>
        <v>12352390</v>
      </c>
      <c r="AA152" s="653">
        <f>12360000-7610</f>
        <v>12352390</v>
      </c>
      <c r="AB152" s="653"/>
      <c r="AC152" s="653"/>
      <c r="AD152" s="653">
        <f t="shared" ref="AD152" si="75">+AA152+AB152</f>
        <v>12352390</v>
      </c>
      <c r="AE152" s="1130">
        <v>43117</v>
      </c>
      <c r="AF152" s="1129">
        <v>22</v>
      </c>
      <c r="AG152" s="782" t="s">
        <v>909</v>
      </c>
      <c r="AH152" s="653"/>
      <c r="AI152" s="653"/>
      <c r="AJ152" s="653"/>
      <c r="AK152" s="653"/>
    </row>
    <row r="153" spans="1:40" ht="48.75" customHeight="1" x14ac:dyDescent="0.2">
      <c r="A153" s="1363"/>
      <c r="B153" s="1363"/>
      <c r="C153" s="1363"/>
      <c r="D153" s="1338"/>
      <c r="E153" s="1338"/>
      <c r="F153" s="1415"/>
      <c r="G153" s="1018">
        <v>149</v>
      </c>
      <c r="H153" s="865"/>
      <c r="I153" s="735" t="s">
        <v>1106</v>
      </c>
      <c r="J153" s="709">
        <v>8011621</v>
      </c>
      <c r="K153" s="595" t="s">
        <v>683</v>
      </c>
      <c r="L153" s="709">
        <v>30303</v>
      </c>
      <c r="M153" s="709" t="s">
        <v>790</v>
      </c>
      <c r="N153" s="1024">
        <v>2.4</v>
      </c>
      <c r="O153" s="709" t="s">
        <v>1014</v>
      </c>
      <c r="P153" s="816" t="s">
        <v>593</v>
      </c>
      <c r="Q153" s="756" t="s">
        <v>550</v>
      </c>
      <c r="R153" s="832" t="s">
        <v>550</v>
      </c>
      <c r="S153" s="758">
        <v>95</v>
      </c>
      <c r="T153" s="597">
        <v>0</v>
      </c>
      <c r="U153" s="1026" t="s">
        <v>611</v>
      </c>
      <c r="V153" s="717" t="str">
        <f>IF(U153=listas!$C$1,listas!$B$1,IF(U153=listas!$C$2,listas!$B$2,IF(U153=listas!$C$3,listas!$B$3,IF(U153=listas!$C$4,listas!$B$4,IF(U153=listas!$C$5,listas!$B$5,IF(U153=listas!$C$6,listas!$B$6,IF(U153=listas!$C$7,listas!$B$7,IF(U153=listas!$C$8,listas!$B$8,""))))))))</f>
        <v/>
      </c>
      <c r="W153" s="754">
        <v>34627500</v>
      </c>
      <c r="X153" s="754"/>
      <c r="Y153" s="653"/>
      <c r="Z153" s="835">
        <f t="shared" ref="Z153:Z160" si="76">+W153+X153+Y153</f>
        <v>34627500</v>
      </c>
      <c r="AA153" s="653">
        <v>34627500</v>
      </c>
      <c r="AB153" s="653"/>
      <c r="AC153" s="653"/>
      <c r="AD153" s="653">
        <f>+AA153+AB153+AC153</f>
        <v>34627500</v>
      </c>
      <c r="AE153" s="1130">
        <v>43370</v>
      </c>
      <c r="AF153" s="1129">
        <v>120</v>
      </c>
      <c r="AG153" s="653" t="s">
        <v>1218</v>
      </c>
      <c r="AH153" s="653"/>
      <c r="AI153" s="653"/>
      <c r="AJ153" s="653"/>
      <c r="AK153" s="653"/>
    </row>
    <row r="154" spans="1:40" ht="43.5" customHeight="1" x14ac:dyDescent="0.2">
      <c r="A154" s="1363"/>
      <c r="B154" s="1363"/>
      <c r="C154" s="1363"/>
      <c r="D154" s="1338"/>
      <c r="E154" s="1338"/>
      <c r="F154" s="1415"/>
      <c r="G154" s="1018">
        <v>149</v>
      </c>
      <c r="H154" s="865"/>
      <c r="I154" s="735" t="s">
        <v>1107</v>
      </c>
      <c r="J154" s="709">
        <v>8011621</v>
      </c>
      <c r="K154" s="595" t="s">
        <v>679</v>
      </c>
      <c r="L154" s="709">
        <v>30303</v>
      </c>
      <c r="M154" s="709" t="s">
        <v>790</v>
      </c>
      <c r="N154" s="1024">
        <v>2.4</v>
      </c>
      <c r="O154" s="709" t="s">
        <v>1014</v>
      </c>
      <c r="P154" s="742"/>
      <c r="Q154" s="1040" t="s">
        <v>550</v>
      </c>
      <c r="R154" s="1040" t="s">
        <v>551</v>
      </c>
      <c r="S154" s="1040">
        <v>3</v>
      </c>
      <c r="T154" s="1040">
        <v>1</v>
      </c>
      <c r="U154" s="1026" t="s">
        <v>611</v>
      </c>
      <c r="V154" s="717" t="str">
        <f>IF(U154=listas!$C$1,listas!$B$1,IF(U154=listas!$C$2,listas!$B$2,IF(U154=listas!$C$3,listas!$B$3,IF(U154=listas!$C$4,listas!$B$4,IF(U154=listas!$C$5,listas!$B$5,IF(U154=listas!$C$6,listas!$B$6,IF(U154=listas!$C$7,listas!$B$7,IF(U154=listas!$C$8,listas!$B$8,""))))))))</f>
        <v/>
      </c>
      <c r="W154" s="754">
        <v>26000000</v>
      </c>
      <c r="X154" s="754"/>
      <c r="Y154" s="653"/>
      <c r="Z154" s="835">
        <f t="shared" si="76"/>
        <v>26000000</v>
      </c>
      <c r="AA154" s="653">
        <v>26000000</v>
      </c>
      <c r="AB154" s="653"/>
      <c r="AC154" s="653"/>
      <c r="AD154" s="653">
        <f>+AA154+AB154+AC154</f>
        <v>26000000</v>
      </c>
      <c r="AE154" s="1130">
        <v>43370</v>
      </c>
      <c r="AF154" s="1129">
        <v>121</v>
      </c>
      <c r="AG154" s="653" t="s">
        <v>1164</v>
      </c>
      <c r="AH154" s="653"/>
      <c r="AI154" s="653"/>
      <c r="AJ154" s="653"/>
      <c r="AK154" s="653"/>
    </row>
    <row r="155" spans="1:40" ht="24.75" customHeight="1" x14ac:dyDescent="0.2">
      <c r="A155" s="1363"/>
      <c r="B155" s="1363"/>
      <c r="C155" s="1363"/>
      <c r="D155" s="1338"/>
      <c r="E155" s="1338"/>
      <c r="F155" s="1415"/>
      <c r="G155" s="1029">
        <v>149</v>
      </c>
      <c r="H155" s="1030"/>
      <c r="I155" s="884" t="s">
        <v>1114</v>
      </c>
      <c r="J155" s="1024" t="s">
        <v>1108</v>
      </c>
      <c r="K155" s="759" t="s">
        <v>679</v>
      </c>
      <c r="L155" s="1024">
        <v>30303</v>
      </c>
      <c r="M155" s="709" t="s">
        <v>790</v>
      </c>
      <c r="N155" s="1024">
        <v>2.4</v>
      </c>
      <c r="O155" s="1024" t="s">
        <v>1014</v>
      </c>
      <c r="P155" s="930" t="s">
        <v>1115</v>
      </c>
      <c r="Q155" s="928" t="s">
        <v>551</v>
      </c>
      <c r="R155" s="928" t="s">
        <v>551</v>
      </c>
      <c r="S155" s="929">
        <v>2</v>
      </c>
      <c r="T155" s="752">
        <v>1</v>
      </c>
      <c r="U155" s="1025" t="s">
        <v>597</v>
      </c>
      <c r="V155" s="848" t="str">
        <f>IF(U155=listas!$C$1,listas!$B$1,IF(U155=listas!$C$2,listas!$B$2,IF(U155=listas!$C$3,listas!$B$3,IF(U155=listas!$C$4,listas!$B$4,IF(U155=listas!$C$5,listas!$B$5,IF(U155=listas!$C$6,listas!$B$6,IF(U155=listas!$C$7,listas!$B$7,IF(U155=listas!$C$8,listas!$B$8,""))))))))</f>
        <v>CCE-10</v>
      </c>
      <c r="W155" s="754">
        <v>2195881</v>
      </c>
      <c r="X155" s="754"/>
      <c r="Y155" s="754"/>
      <c r="Z155" s="835">
        <f t="shared" si="76"/>
        <v>2195881</v>
      </c>
      <c r="AA155" s="653">
        <v>2195881</v>
      </c>
      <c r="AB155" s="653"/>
      <c r="AC155" s="653"/>
      <c r="AD155" s="653">
        <f>+AA155+AB155+AC155</f>
        <v>2195881</v>
      </c>
      <c r="AE155" s="1130">
        <v>43392</v>
      </c>
      <c r="AF155" s="1128">
        <v>124</v>
      </c>
      <c r="AG155" s="784" t="s">
        <v>1135</v>
      </c>
      <c r="AH155" s="653"/>
      <c r="AI155" s="653"/>
      <c r="AJ155" s="653"/>
      <c r="AK155" s="653"/>
    </row>
    <row r="156" spans="1:40" ht="9" customHeight="1" x14ac:dyDescent="0.2">
      <c r="A156" s="1363"/>
      <c r="B156" s="1363"/>
      <c r="C156" s="1363"/>
      <c r="D156" s="1338"/>
      <c r="E156" s="1338"/>
      <c r="F156" s="1415"/>
      <c r="G156" s="1088"/>
      <c r="H156" s="865"/>
      <c r="I156" s="1102" t="s">
        <v>1136</v>
      </c>
      <c r="J156" s="1100"/>
      <c r="K156" s="1103"/>
      <c r="L156" s="1100"/>
      <c r="M156" s="1096"/>
      <c r="N156" s="1100"/>
      <c r="O156" s="1100"/>
      <c r="P156" s="1104"/>
      <c r="Q156" s="1105"/>
      <c r="R156" s="1105"/>
      <c r="S156" s="1106"/>
      <c r="T156" s="1101"/>
      <c r="U156" s="1107"/>
      <c r="V156" s="1108"/>
      <c r="W156" s="1028">
        <f>5489702-2195881-3293821</f>
        <v>0</v>
      </c>
      <c r="X156" s="1028"/>
      <c r="Y156" s="1028"/>
      <c r="Z156" s="1028">
        <f>+W156+X156+Y156</f>
        <v>0</v>
      </c>
      <c r="AA156" s="653"/>
      <c r="AB156" s="653"/>
      <c r="AC156" s="653"/>
      <c r="AD156" s="653"/>
      <c r="AE156" s="1130"/>
      <c r="AF156" s="1128"/>
      <c r="AG156" s="784"/>
      <c r="AH156" s="653"/>
      <c r="AI156" s="653"/>
      <c r="AJ156" s="653"/>
      <c r="AK156" s="653"/>
    </row>
    <row r="157" spans="1:40" ht="36.75" customHeight="1" x14ac:dyDescent="0.2">
      <c r="A157" s="1363"/>
      <c r="B157" s="1363"/>
      <c r="C157" s="1363"/>
      <c r="D157" s="1338"/>
      <c r="E157" s="1338"/>
      <c r="F157" s="1415"/>
      <c r="G157" s="1029">
        <v>149</v>
      </c>
      <c r="H157" s="1030"/>
      <c r="I157" s="1060" t="s">
        <v>1126</v>
      </c>
      <c r="J157" s="1043">
        <v>81116000</v>
      </c>
      <c r="K157" s="759" t="s">
        <v>1127</v>
      </c>
      <c r="L157" s="1045">
        <v>30303</v>
      </c>
      <c r="M157" s="1046" t="s">
        <v>790</v>
      </c>
      <c r="N157" s="1024" t="s">
        <v>827</v>
      </c>
      <c r="O157" s="1024" t="s">
        <v>828</v>
      </c>
      <c r="P157" s="1047" t="s">
        <v>647</v>
      </c>
      <c r="Q157" s="928" t="s">
        <v>551</v>
      </c>
      <c r="R157" s="928" t="s">
        <v>551</v>
      </c>
      <c r="S157" s="929">
        <v>2</v>
      </c>
      <c r="T157" s="752">
        <v>1</v>
      </c>
      <c r="U157" s="1044" t="s">
        <v>611</v>
      </c>
      <c r="V157" s="717" t="str">
        <f>IF(U157=listas!$C$1,listas!$B$1,IF(U157=listas!$C$2,listas!$B$2,IF(U157=listas!$C$3,listas!$B$3,IF(U157=listas!$C$4,listas!$B$4,IF(U157=listas!$C$5,listas!$B$5,IF(U157=listas!$C$6,listas!$B$6,IF(U157=listas!$C$7,listas!$B$7,IF(U157=listas!$C$8,listas!$B$8,""))))))))</f>
        <v/>
      </c>
      <c r="W157" s="754">
        <v>1562484</v>
      </c>
      <c r="X157" s="754"/>
      <c r="Y157" s="754"/>
      <c r="Z157" s="835">
        <f t="shared" si="76"/>
        <v>1562484</v>
      </c>
      <c r="AA157" s="653">
        <v>1562484</v>
      </c>
      <c r="AB157" s="653"/>
      <c r="AC157" s="653"/>
      <c r="AD157" s="653">
        <f>+AA157+AB157+AC157</f>
        <v>1562484</v>
      </c>
      <c r="AE157" s="1130">
        <v>43398</v>
      </c>
      <c r="AF157" s="1129">
        <v>127</v>
      </c>
      <c r="AG157" s="782" t="s">
        <v>1138</v>
      </c>
      <c r="AH157" s="653"/>
      <c r="AI157" s="653"/>
      <c r="AJ157" s="653"/>
      <c r="AK157" s="653"/>
    </row>
    <row r="158" spans="1:40" ht="33.75" customHeight="1" x14ac:dyDescent="0.2">
      <c r="A158" s="1363"/>
      <c r="B158" s="1363"/>
      <c r="C158" s="1363"/>
      <c r="D158" s="1338"/>
      <c r="E158" s="1338"/>
      <c r="F158" s="1415"/>
      <c r="G158" s="1029">
        <v>149</v>
      </c>
      <c r="H158" s="1030"/>
      <c r="I158" s="576" t="s">
        <v>1128</v>
      </c>
      <c r="J158" s="1043">
        <v>81116000</v>
      </c>
      <c r="K158" s="759" t="s">
        <v>1127</v>
      </c>
      <c r="L158" s="1045">
        <v>30303</v>
      </c>
      <c r="M158" s="1046" t="s">
        <v>790</v>
      </c>
      <c r="N158" s="1043" t="s">
        <v>827</v>
      </c>
      <c r="O158" s="1024" t="s">
        <v>828</v>
      </c>
      <c r="P158" s="1047" t="s">
        <v>647</v>
      </c>
      <c r="Q158" s="928" t="s">
        <v>551</v>
      </c>
      <c r="R158" s="928" t="s">
        <v>551</v>
      </c>
      <c r="S158" s="929">
        <v>2</v>
      </c>
      <c r="T158" s="752">
        <v>1</v>
      </c>
      <c r="U158" s="1044" t="s">
        <v>611</v>
      </c>
      <c r="V158" s="717" t="str">
        <f>IF(U158=listas!$C$1,listas!$B$1,IF(U158=listas!$C$2,listas!$B$2,IF(U158=listas!$C$3,listas!$B$3,IF(U158=listas!$C$4,listas!$B$4,IF(U158=listas!$C$5,listas!$B$5,IF(U158=listas!$C$6,listas!$B$6,IF(U158=listas!$C$7,listas!$B$7,IF(U158=listas!$C$8,listas!$B$8,""))))))))</f>
        <v/>
      </c>
      <c r="W158" s="754">
        <v>2343726</v>
      </c>
      <c r="X158" s="754"/>
      <c r="Y158" s="754"/>
      <c r="Z158" s="835">
        <f t="shared" si="76"/>
        <v>2343726</v>
      </c>
      <c r="AA158" s="754">
        <v>2343726</v>
      </c>
      <c r="AB158" s="754"/>
      <c r="AC158" s="754"/>
      <c r="AD158" s="754">
        <f>+AA158+AB158+AC158</f>
        <v>2343726</v>
      </c>
      <c r="AE158" s="1130">
        <v>43398</v>
      </c>
      <c r="AF158" s="1128">
        <v>126</v>
      </c>
      <c r="AG158" s="784" t="s">
        <v>1137</v>
      </c>
      <c r="AH158" s="653"/>
      <c r="AI158" s="653"/>
      <c r="AJ158" s="653"/>
      <c r="AK158" s="653"/>
    </row>
    <row r="159" spans="1:40" ht="43.5" customHeight="1" x14ac:dyDescent="0.2">
      <c r="A159" s="1363"/>
      <c r="B159" s="1363"/>
      <c r="C159" s="1363"/>
      <c r="D159" s="1338"/>
      <c r="E159" s="1338"/>
      <c r="F159" s="1415"/>
      <c r="G159" s="1029">
        <v>149</v>
      </c>
      <c r="H159" s="1030"/>
      <c r="I159" s="576" t="s">
        <v>1129</v>
      </c>
      <c r="J159" s="1043">
        <v>81116000</v>
      </c>
      <c r="K159" s="625" t="s">
        <v>679</v>
      </c>
      <c r="L159" s="1045">
        <v>30303</v>
      </c>
      <c r="M159" s="1046" t="s">
        <v>790</v>
      </c>
      <c r="N159" s="1043" t="s">
        <v>827</v>
      </c>
      <c r="O159" s="1024" t="s">
        <v>828</v>
      </c>
      <c r="P159" s="930" t="s">
        <v>727</v>
      </c>
      <c r="Q159" s="928" t="s">
        <v>551</v>
      </c>
      <c r="R159" s="928" t="s">
        <v>551</v>
      </c>
      <c r="S159" s="903">
        <v>80</v>
      </c>
      <c r="T159" s="597">
        <v>0</v>
      </c>
      <c r="U159" s="1044" t="s">
        <v>611</v>
      </c>
      <c r="V159" s="717" t="str">
        <f>IF(U159=listas!$C$1,listas!$B$1,IF(U159=listas!$C$2,listas!$B$2,IF(U159=listas!$C$3,listas!$B$3,IF(U159=listas!$C$4,listas!$B$4,IF(U159=listas!$C$5,listas!$B$5,IF(U159=listas!$C$6,listas!$B$6,IF(U159=listas!$C$7,listas!$B$7,IF(U159=listas!$C$8,listas!$B$8,""))))))))</f>
        <v/>
      </c>
      <c r="W159" s="754">
        <v>3334085</v>
      </c>
      <c r="X159" s="754"/>
      <c r="Y159" s="754"/>
      <c r="Z159" s="835">
        <f t="shared" si="76"/>
        <v>3334085</v>
      </c>
      <c r="AA159" s="754">
        <v>3334085</v>
      </c>
      <c r="AB159" s="754"/>
      <c r="AC159" s="754"/>
      <c r="AD159" s="754">
        <f>+AA159+AB159+AC159</f>
        <v>3334085</v>
      </c>
      <c r="AE159" s="1130">
        <v>43384</v>
      </c>
      <c r="AF159" s="1128">
        <v>122</v>
      </c>
      <c r="AG159" s="784" t="s">
        <v>1131</v>
      </c>
      <c r="AH159" s="653"/>
      <c r="AI159" s="653"/>
      <c r="AJ159" s="653"/>
      <c r="AK159" s="653"/>
    </row>
    <row r="160" spans="1:40" ht="41.25" customHeight="1" x14ac:dyDescent="0.2">
      <c r="A160" s="1363"/>
      <c r="B160" s="1363"/>
      <c r="C160" s="1363"/>
      <c r="D160" s="1338"/>
      <c r="E160" s="1338"/>
      <c r="F160" s="1415"/>
      <c r="G160" s="1029">
        <v>149</v>
      </c>
      <c r="H160" s="1030"/>
      <c r="I160" s="992" t="s">
        <v>1172</v>
      </c>
      <c r="J160" s="1043" t="s">
        <v>1174</v>
      </c>
      <c r="K160" s="1154" t="s">
        <v>679</v>
      </c>
      <c r="L160" s="1155">
        <v>30303</v>
      </c>
      <c r="M160" s="1156" t="s">
        <v>790</v>
      </c>
      <c r="N160" s="1043" t="s">
        <v>1175</v>
      </c>
      <c r="O160" s="1146" t="s">
        <v>828</v>
      </c>
      <c r="P160" s="930" t="s">
        <v>727</v>
      </c>
      <c r="Q160" s="928" t="s">
        <v>553</v>
      </c>
      <c r="R160" s="928" t="s">
        <v>1130</v>
      </c>
      <c r="S160" s="929">
        <v>1</v>
      </c>
      <c r="T160" s="752">
        <v>1</v>
      </c>
      <c r="U160" s="1148" t="s">
        <v>611</v>
      </c>
      <c r="V160" s="848" t="str">
        <f>IF(U160=listas!$C$1,listas!$B$1,IF(U160=listas!$C$2,listas!$B$2,IF(U160=listas!$C$3,listas!$B$3,IF(U160=listas!$C$4,listas!$B$4,IF(U160=listas!$C$5,listas!$B$5,IF(U160=listas!$C$6,listas!$B$6,IF(U160=listas!$C$7,listas!$B$7,IF(U160=listas!$C$8,listas!$B$8,""))))))))</f>
        <v/>
      </c>
      <c r="W160" s="1157">
        <v>82482</v>
      </c>
      <c r="X160" s="1157"/>
      <c r="Y160" s="754"/>
      <c r="Z160" s="835">
        <f t="shared" si="76"/>
        <v>82482</v>
      </c>
      <c r="AA160" s="653"/>
      <c r="AB160" s="653"/>
      <c r="AC160" s="653"/>
      <c r="AD160" s="653">
        <f>+AA160+AB160+AC160</f>
        <v>0</v>
      </c>
      <c r="AE160" s="1130"/>
      <c r="AF160" s="1129"/>
      <c r="AG160" s="782"/>
      <c r="AH160" s="653"/>
      <c r="AI160" s="653"/>
      <c r="AJ160" s="653"/>
      <c r="AK160" s="653"/>
    </row>
    <row r="161" spans="1:40" ht="32.25" customHeight="1" x14ac:dyDescent="0.2">
      <c r="A161" s="1363"/>
      <c r="B161" s="1363"/>
      <c r="C161" s="1363"/>
      <c r="D161" s="1338"/>
      <c r="E161" s="1338"/>
      <c r="F161" s="1415"/>
      <c r="G161" s="1029">
        <v>149</v>
      </c>
      <c r="H161" s="1030"/>
      <c r="I161" s="576" t="s">
        <v>1173</v>
      </c>
      <c r="J161" s="1043" t="s">
        <v>1167</v>
      </c>
      <c r="K161" s="1158"/>
      <c r="L161" s="1155">
        <v>30303</v>
      </c>
      <c r="M161" s="1156" t="s">
        <v>790</v>
      </c>
      <c r="N161" s="1043" t="s">
        <v>1168</v>
      </c>
      <c r="O161" s="1146" t="s">
        <v>828</v>
      </c>
      <c r="P161" s="930" t="s">
        <v>727</v>
      </c>
      <c r="Q161" s="928" t="s">
        <v>553</v>
      </c>
      <c r="R161" s="928" t="s">
        <v>1130</v>
      </c>
      <c r="S161" s="903">
        <v>1</v>
      </c>
      <c r="T161" s="597">
        <v>1</v>
      </c>
      <c r="U161" s="1148" t="s">
        <v>597</v>
      </c>
      <c r="V161" s="848" t="str">
        <f>IF(U161=listas!$C$1,listas!$B$1,IF(U161=listas!$C$2,listas!$B$2,IF(U161=listas!$C$3,listas!$B$3,IF(U161=listas!$C$4,listas!$B$4,IF(U161=listas!$C$5,listas!$B$5,IF(U161=listas!$C$6,listas!$B$6,IF(U161=listas!$C$7,listas!$B$7,IF(U161=listas!$C$8,listas!$B$8,""))))))))</f>
        <v>CCE-10</v>
      </c>
      <c r="W161" s="754">
        <f>4343738+131407</f>
        <v>4475145</v>
      </c>
      <c r="X161" s="754"/>
      <c r="Y161" s="754"/>
      <c r="Z161" s="835">
        <f>+W161+X161+Y161</f>
        <v>4475145</v>
      </c>
      <c r="AA161" s="653">
        <v>4475145</v>
      </c>
      <c r="AB161" s="653"/>
      <c r="AC161" s="653"/>
      <c r="AD161" s="653">
        <f>+AA161+AB161+AC161</f>
        <v>4475145</v>
      </c>
      <c r="AE161" s="1130">
        <v>43454</v>
      </c>
      <c r="AF161" s="1129">
        <v>131</v>
      </c>
      <c r="AG161" s="782" t="s">
        <v>1219</v>
      </c>
      <c r="AH161" s="653"/>
      <c r="AI161" s="653"/>
      <c r="AJ161" s="653"/>
      <c r="AK161" s="653"/>
    </row>
    <row r="162" spans="1:40" ht="16.5" customHeight="1" x14ac:dyDescent="0.2">
      <c r="A162" s="1363"/>
      <c r="B162" s="1363"/>
      <c r="C162" s="1363"/>
      <c r="D162" s="1338"/>
      <c r="E162" s="1338"/>
      <c r="F162" s="1416"/>
      <c r="G162" s="1374" t="s">
        <v>500</v>
      </c>
      <c r="H162" s="1375"/>
      <c r="I162" s="1375"/>
      <c r="J162" s="1375"/>
      <c r="K162" s="1375"/>
      <c r="L162" s="1375"/>
      <c r="M162" s="1375"/>
      <c r="N162" s="1375"/>
      <c r="O162" s="1375"/>
      <c r="P162" s="1375"/>
      <c r="Q162" s="1375"/>
      <c r="R162" s="1375"/>
      <c r="S162" s="1375"/>
      <c r="T162" s="1375"/>
      <c r="U162" s="1376"/>
      <c r="V162" s="701"/>
      <c r="W162" s="663">
        <f>SUM(W135:W161)</f>
        <v>359778000</v>
      </c>
      <c r="X162" s="663">
        <f>SUM(X135:X152)</f>
        <v>0</v>
      </c>
      <c r="Y162" s="663"/>
      <c r="Z162" s="663">
        <f t="shared" si="62"/>
        <v>359778000</v>
      </c>
      <c r="AA162" s="663">
        <f>SUM(AA135:AA161)</f>
        <v>359549272</v>
      </c>
      <c r="AB162" s="663">
        <f>SUM(AB135:AB152)</f>
        <v>0</v>
      </c>
      <c r="AC162" s="663"/>
      <c r="AD162" s="663">
        <f t="shared" ref="AD162:AD165" si="77">+AA162+AB162+AC162</f>
        <v>359549272</v>
      </c>
      <c r="AE162" s="663"/>
      <c r="AF162" s="663"/>
      <c r="AG162" s="788"/>
      <c r="AH162" s="663">
        <v>346458836</v>
      </c>
      <c r="AI162" s="663">
        <f>SUM(AI135:AI152)</f>
        <v>0</v>
      </c>
      <c r="AJ162" s="663"/>
      <c r="AK162" s="663">
        <f t="shared" ref="AK162:AK165" si="78">+AH162+AI162+AJ162</f>
        <v>346458836</v>
      </c>
      <c r="AL162" s="749"/>
    </row>
    <row r="163" spans="1:40" ht="15" customHeight="1" x14ac:dyDescent="0.2">
      <c r="A163" s="1363"/>
      <c r="B163" s="1363"/>
      <c r="C163" s="1363"/>
      <c r="D163" s="1338"/>
      <c r="E163" s="1338"/>
      <c r="F163" s="1377" t="s">
        <v>532</v>
      </c>
      <c r="G163" s="1377"/>
      <c r="H163" s="1377"/>
      <c r="I163" s="1377"/>
      <c r="J163" s="1377"/>
      <c r="K163" s="1377"/>
      <c r="L163" s="1377"/>
      <c r="M163" s="1377"/>
      <c r="N163" s="1377"/>
      <c r="O163" s="1377"/>
      <c r="P163" s="1377"/>
      <c r="Q163" s="1377"/>
      <c r="R163" s="1377"/>
      <c r="S163" s="1377"/>
      <c r="T163" s="1377"/>
      <c r="U163" s="1377"/>
      <c r="V163" s="702"/>
      <c r="W163" s="661">
        <f>+W162</f>
        <v>359778000</v>
      </c>
      <c r="X163" s="661">
        <f t="shared" ref="X163" si="79">+X162</f>
        <v>0</v>
      </c>
      <c r="Y163" s="661"/>
      <c r="Z163" s="661">
        <f t="shared" si="62"/>
        <v>359778000</v>
      </c>
      <c r="AA163" s="661">
        <f>+AA162</f>
        <v>359549272</v>
      </c>
      <c r="AB163" s="661">
        <f t="shared" ref="AB163" si="80">+AB162</f>
        <v>0</v>
      </c>
      <c r="AC163" s="661"/>
      <c r="AD163" s="661">
        <f t="shared" si="77"/>
        <v>359549272</v>
      </c>
      <c r="AE163" s="661"/>
      <c r="AF163" s="661"/>
      <c r="AG163" s="786"/>
      <c r="AH163" s="661">
        <f>+AH162</f>
        <v>346458836</v>
      </c>
      <c r="AI163" s="661">
        <f t="shared" ref="AI163" si="81">+AI162</f>
        <v>0</v>
      </c>
      <c r="AJ163" s="661"/>
      <c r="AK163" s="661">
        <f t="shared" si="78"/>
        <v>346458836</v>
      </c>
    </row>
    <row r="164" spans="1:40" ht="27.75" customHeight="1" x14ac:dyDescent="0.2">
      <c r="A164" s="1417" t="s">
        <v>759</v>
      </c>
      <c r="B164" s="1417"/>
      <c r="C164" s="1417"/>
      <c r="D164" s="1417"/>
      <c r="E164" s="1417"/>
      <c r="F164" s="1417"/>
      <c r="G164" s="1417"/>
      <c r="H164" s="1417"/>
      <c r="I164" s="1417"/>
      <c r="J164" s="1417"/>
      <c r="K164" s="1417"/>
      <c r="L164" s="1417"/>
      <c r="M164" s="1417"/>
      <c r="N164" s="1417"/>
      <c r="O164" s="1417"/>
      <c r="P164" s="1417"/>
      <c r="Q164" s="1417"/>
      <c r="R164" s="1417"/>
      <c r="S164" s="1417"/>
      <c r="T164" s="1417"/>
      <c r="U164" s="1417"/>
      <c r="V164" s="703"/>
      <c r="W164" s="664">
        <f>+W115+W134+W163</f>
        <v>1679178000</v>
      </c>
      <c r="X164" s="664">
        <f>+X115+X134+X163</f>
        <v>1715445692</v>
      </c>
      <c r="Y164" s="664"/>
      <c r="Z164" s="664">
        <f t="shared" si="62"/>
        <v>3394623692</v>
      </c>
      <c r="AA164" s="664">
        <f>+AA115+AA134+AA163</f>
        <v>1678949272</v>
      </c>
      <c r="AB164" s="664">
        <f>+AB115+AB134+AB163</f>
        <v>1699445692</v>
      </c>
      <c r="AC164" s="664"/>
      <c r="AD164" s="664">
        <f t="shared" si="77"/>
        <v>3378394964</v>
      </c>
      <c r="AE164" s="664"/>
      <c r="AF164" s="664"/>
      <c r="AG164" s="789"/>
      <c r="AH164" s="664">
        <f>+AH115+AH134+AH163</f>
        <v>1663940772</v>
      </c>
      <c r="AI164" s="664">
        <f>+AI115+AI134+AI163</f>
        <v>1699445692</v>
      </c>
      <c r="AJ164" s="664"/>
      <c r="AK164" s="664">
        <f t="shared" si="78"/>
        <v>3363386464</v>
      </c>
      <c r="AL164" s="749"/>
      <c r="AM164" s="749"/>
    </row>
    <row r="165" spans="1:40" ht="20.25" customHeight="1" x14ac:dyDescent="0.2">
      <c r="A165" s="1355" t="s">
        <v>535</v>
      </c>
      <c r="B165" s="1355"/>
      <c r="C165" s="1355"/>
      <c r="D165" s="1355"/>
      <c r="E165" s="1355"/>
      <c r="F165" s="1355"/>
      <c r="G165" s="1355"/>
      <c r="H165" s="1355"/>
      <c r="I165" s="1355"/>
      <c r="J165" s="1355"/>
      <c r="K165" s="1355"/>
      <c r="L165" s="1355"/>
      <c r="M165" s="1355"/>
      <c r="N165" s="1355"/>
      <c r="O165" s="1355"/>
      <c r="P165" s="1355"/>
      <c r="Q165" s="1355"/>
      <c r="R165" s="1355"/>
      <c r="S165" s="1355"/>
      <c r="T165" s="1355"/>
      <c r="U165" s="1355"/>
      <c r="V165" s="707"/>
      <c r="W165" s="665">
        <f>+W82+W164</f>
        <v>3000959000</v>
      </c>
      <c r="X165" s="665">
        <f>+X82+X164</f>
        <v>3231327484.0079999</v>
      </c>
      <c r="Y165" s="665">
        <f>+Y82+Y164</f>
        <v>0</v>
      </c>
      <c r="Z165" s="665">
        <f t="shared" si="62"/>
        <v>6232286484.0079994</v>
      </c>
      <c r="AA165" s="665">
        <f>+AA82+AA164</f>
        <v>3000730272</v>
      </c>
      <c r="AB165" s="665">
        <f>+AB82+AB164</f>
        <v>3215327484.0079999</v>
      </c>
      <c r="AC165" s="665"/>
      <c r="AD165" s="665">
        <f t="shared" si="77"/>
        <v>6216057756.0079994</v>
      </c>
      <c r="AE165" s="665"/>
      <c r="AF165" s="665"/>
      <c r="AG165" s="790"/>
      <c r="AH165" s="665">
        <f>+AH82+AH164</f>
        <v>2931841811</v>
      </c>
      <c r="AI165" s="665">
        <f>+AI82+AI164</f>
        <v>3215327484</v>
      </c>
      <c r="AJ165" s="665"/>
      <c r="AK165" s="665">
        <f t="shared" si="78"/>
        <v>6147169295</v>
      </c>
      <c r="AL165" s="749" t="s">
        <v>18</v>
      </c>
      <c r="AM165" s="749"/>
      <c r="AN165" s="749"/>
    </row>
    <row r="166" spans="1:40" ht="25.5" customHeight="1" x14ac:dyDescent="0.2">
      <c r="A166" s="1356" t="s">
        <v>501</v>
      </c>
      <c r="B166" s="1357"/>
      <c r="C166" s="1357"/>
      <c r="D166" s="1358"/>
      <c r="E166" s="1356" t="s">
        <v>1212</v>
      </c>
      <c r="F166" s="1357"/>
      <c r="G166" s="1357"/>
      <c r="H166" s="1357"/>
      <c r="I166" s="1357"/>
      <c r="J166" s="1357"/>
      <c r="K166" s="1357"/>
      <c r="L166" s="1357"/>
      <c r="M166" s="1357"/>
      <c r="N166" s="1357"/>
      <c r="O166" s="1357"/>
      <c r="P166" s="1357"/>
      <c r="Q166" s="1357"/>
      <c r="R166" s="1357"/>
      <c r="S166" s="1357"/>
      <c r="T166" s="1357"/>
      <c r="U166" s="1357"/>
      <c r="V166" s="1357"/>
      <c r="W166" s="1357"/>
      <c r="X166" s="1357"/>
      <c r="Y166" s="1357"/>
      <c r="Z166" s="1358"/>
      <c r="AA166" s="1079"/>
      <c r="AD166" s="749"/>
      <c r="AH166" s="625"/>
      <c r="AI166" s="625"/>
      <c r="AJ166" s="625"/>
      <c r="AK166" s="625"/>
    </row>
    <row r="167" spans="1:40" ht="20.25" customHeight="1" x14ac:dyDescent="0.2">
      <c r="A167" s="1352" t="s">
        <v>519</v>
      </c>
      <c r="B167" s="1353"/>
      <c r="C167" s="1353"/>
      <c r="D167" s="1354"/>
      <c r="E167" s="1352" t="s">
        <v>536</v>
      </c>
      <c r="F167" s="1353"/>
      <c r="G167" s="1353"/>
      <c r="H167" s="1353"/>
      <c r="I167" s="1353"/>
      <c r="J167" s="1353"/>
      <c r="K167" s="1353"/>
      <c r="L167" s="1353"/>
      <c r="M167" s="1353"/>
      <c r="N167" s="1353"/>
      <c r="O167" s="1353"/>
      <c r="P167" s="1353"/>
      <c r="Q167" s="1353"/>
      <c r="R167" s="1353"/>
      <c r="S167" s="1353"/>
      <c r="T167" s="1353"/>
      <c r="U167" s="1353"/>
      <c r="V167" s="1353"/>
      <c r="W167" s="1353"/>
      <c r="X167" s="1353"/>
      <c r="Y167" s="1353"/>
      <c r="Z167" s="1354"/>
      <c r="AA167" s="749"/>
      <c r="AB167" s="749"/>
      <c r="AD167" s="749"/>
      <c r="AH167" s="625"/>
      <c r="AI167" s="625"/>
      <c r="AJ167" s="625"/>
      <c r="AK167" s="641"/>
    </row>
    <row r="168" spans="1:40" ht="24.75" customHeight="1" x14ac:dyDescent="0.2">
      <c r="A168" s="1352" t="s">
        <v>521</v>
      </c>
      <c r="B168" s="1353"/>
      <c r="C168" s="1353"/>
      <c r="D168" s="1354"/>
      <c r="E168" s="1352" t="s">
        <v>537</v>
      </c>
      <c r="F168" s="1353"/>
      <c r="G168" s="1353"/>
      <c r="H168" s="1353"/>
      <c r="I168" s="1353"/>
      <c r="J168" s="1353"/>
      <c r="K168" s="1353"/>
      <c r="L168" s="1353"/>
      <c r="M168" s="1353"/>
      <c r="N168" s="1353"/>
      <c r="O168" s="1353"/>
      <c r="P168" s="1353"/>
      <c r="Q168" s="1353"/>
      <c r="R168" s="1353"/>
      <c r="S168" s="1353"/>
      <c r="T168" s="1353"/>
      <c r="U168" s="1353"/>
      <c r="V168" s="1353"/>
      <c r="W168" s="1353"/>
      <c r="X168" s="1353"/>
      <c r="Y168" s="1353"/>
      <c r="Z168" s="1354"/>
      <c r="AH168" s="625"/>
      <c r="AI168" s="625"/>
      <c r="AJ168" s="625"/>
      <c r="AK168" s="625"/>
    </row>
    <row r="169" spans="1:40" ht="20.25" customHeight="1" x14ac:dyDescent="0.2">
      <c r="A169" s="1352" t="s">
        <v>538</v>
      </c>
      <c r="B169" s="1353"/>
      <c r="C169" s="1353"/>
      <c r="D169" s="1354"/>
      <c r="E169" s="1352" t="s">
        <v>539</v>
      </c>
      <c r="F169" s="1353"/>
      <c r="G169" s="1353"/>
      <c r="H169" s="1353"/>
      <c r="I169" s="1353"/>
      <c r="J169" s="1353"/>
      <c r="K169" s="1353"/>
      <c r="L169" s="1353"/>
      <c r="M169" s="1353"/>
      <c r="N169" s="1353"/>
      <c r="O169" s="1353"/>
      <c r="P169" s="1353"/>
      <c r="Q169" s="1353"/>
      <c r="R169" s="1353"/>
      <c r="S169" s="1353"/>
      <c r="T169" s="1353"/>
      <c r="U169" s="1353"/>
      <c r="V169" s="1353"/>
      <c r="W169" s="1353"/>
      <c r="X169" s="1353"/>
      <c r="Y169" s="1353"/>
      <c r="Z169" s="1354"/>
      <c r="AH169" s="625"/>
      <c r="AI169" s="625"/>
      <c r="AJ169" s="625"/>
      <c r="AK169" s="625"/>
    </row>
    <row r="170" spans="1:40" ht="27.75" customHeight="1" x14ac:dyDescent="0.2">
      <c r="A170" s="1330" t="s">
        <v>523</v>
      </c>
      <c r="B170" s="1330" t="s">
        <v>524</v>
      </c>
      <c r="C170" s="1330" t="s">
        <v>525</v>
      </c>
      <c r="D170" s="1330" t="s">
        <v>526</v>
      </c>
      <c r="E170" s="1330" t="s">
        <v>864</v>
      </c>
      <c r="F170" s="1330" t="s">
        <v>3</v>
      </c>
      <c r="G170" s="1330" t="s">
        <v>863</v>
      </c>
      <c r="H170" s="861"/>
      <c r="I170" s="1330" t="s">
        <v>16</v>
      </c>
      <c r="J170" s="1330" t="s">
        <v>527</v>
      </c>
      <c r="K170" s="1370" t="s">
        <v>600</v>
      </c>
      <c r="L170" s="1361" t="s">
        <v>546</v>
      </c>
      <c r="M170" s="1361" t="s">
        <v>786</v>
      </c>
      <c r="N170" s="1361" t="s">
        <v>787</v>
      </c>
      <c r="O170" s="1361" t="s">
        <v>788</v>
      </c>
      <c r="P170" s="1372" t="s">
        <v>760</v>
      </c>
      <c r="Q170" s="1350" t="s">
        <v>528</v>
      </c>
      <c r="R170" s="1351"/>
      <c r="S170" s="1351"/>
      <c r="T170" s="1351"/>
      <c r="U170" s="1351"/>
      <c r="V170" s="646"/>
      <c r="W170" s="1340" t="s">
        <v>613</v>
      </c>
      <c r="X170" s="1341"/>
      <c r="Y170" s="1341"/>
      <c r="Z170" s="1342"/>
      <c r="AA170" s="1318" t="str">
        <f>+AA13</f>
        <v xml:space="preserve">Seguimiento a 31 de Diciembre de 2018  </v>
      </c>
      <c r="AB170" s="1319"/>
      <c r="AC170" s="1319"/>
      <c r="AD170" s="1319"/>
      <c r="AE170" s="1319"/>
      <c r="AF170" s="1319"/>
      <c r="AG170" s="1320"/>
      <c r="AH170" s="1406" t="s">
        <v>870</v>
      </c>
      <c r="AI170" s="1406"/>
      <c r="AJ170" s="1406"/>
      <c r="AK170" s="1406"/>
    </row>
    <row r="171" spans="1:40" ht="28.5" customHeight="1" x14ac:dyDescent="0.2">
      <c r="A171" s="1331"/>
      <c r="B171" s="1331"/>
      <c r="C171" s="1331"/>
      <c r="D171" s="1331"/>
      <c r="E171" s="1331"/>
      <c r="F171" s="1331"/>
      <c r="G171" s="1331"/>
      <c r="H171" s="862"/>
      <c r="I171" s="1331"/>
      <c r="J171" s="1331"/>
      <c r="K171" s="1371"/>
      <c r="L171" s="1361"/>
      <c r="M171" s="1361"/>
      <c r="N171" s="1361" t="s">
        <v>789</v>
      </c>
      <c r="O171" s="1361" t="s">
        <v>788</v>
      </c>
      <c r="P171" s="1373"/>
      <c r="Q171" s="708" t="s">
        <v>583</v>
      </c>
      <c r="R171" s="708" t="s">
        <v>614</v>
      </c>
      <c r="S171" s="708" t="s">
        <v>584</v>
      </c>
      <c r="T171" s="708" t="s">
        <v>585</v>
      </c>
      <c r="U171" s="649" t="s">
        <v>586</v>
      </c>
      <c r="V171" s="649" t="s">
        <v>761</v>
      </c>
      <c r="W171" s="666" t="s">
        <v>615</v>
      </c>
      <c r="X171" s="666" t="s">
        <v>616</v>
      </c>
      <c r="Y171" s="666" t="s">
        <v>762</v>
      </c>
      <c r="Z171" s="685" t="s">
        <v>6</v>
      </c>
      <c r="AA171" s="763" t="s">
        <v>481</v>
      </c>
      <c r="AB171" s="764" t="s">
        <v>480</v>
      </c>
      <c r="AC171" s="764" t="s">
        <v>875</v>
      </c>
      <c r="AD171" s="772" t="s">
        <v>6</v>
      </c>
      <c r="AE171" s="773" t="s">
        <v>479</v>
      </c>
      <c r="AF171" s="774" t="s">
        <v>478</v>
      </c>
      <c r="AG171" s="791" t="s">
        <v>477</v>
      </c>
      <c r="AH171" s="796" t="s">
        <v>481</v>
      </c>
      <c r="AI171" s="796" t="s">
        <v>480</v>
      </c>
      <c r="AJ171" s="764" t="s">
        <v>875</v>
      </c>
      <c r="AK171" s="797" t="s">
        <v>6</v>
      </c>
    </row>
    <row r="172" spans="1:40" ht="45.75" customHeight="1" x14ac:dyDescent="0.2">
      <c r="A172" s="1362" t="str">
        <f>+E169</f>
        <v>184 Fortalecimiento de la gestión educativa institucional</v>
      </c>
      <c r="B172" s="1362" t="s">
        <v>540</v>
      </c>
      <c r="C172" s="1325" t="s">
        <v>513</v>
      </c>
      <c r="D172" s="1323" t="s">
        <v>503</v>
      </c>
      <c r="E172" s="1321" t="s">
        <v>541</v>
      </c>
      <c r="F172" s="1368" t="s">
        <v>507</v>
      </c>
      <c r="G172" s="718">
        <v>116</v>
      </c>
      <c r="H172" s="873">
        <v>308</v>
      </c>
      <c r="I172" s="576" t="s">
        <v>555</v>
      </c>
      <c r="J172" s="709">
        <v>80111600</v>
      </c>
      <c r="K172" s="638" t="s">
        <v>743</v>
      </c>
      <c r="L172" s="870">
        <v>20101</v>
      </c>
      <c r="M172" s="870" t="s">
        <v>822</v>
      </c>
      <c r="N172" s="870" t="s">
        <v>777</v>
      </c>
      <c r="O172" s="870" t="s">
        <v>813</v>
      </c>
      <c r="P172" s="650" t="s">
        <v>556</v>
      </c>
      <c r="Q172" s="639" t="s">
        <v>557</v>
      </c>
      <c r="R172" s="639" t="s">
        <v>557</v>
      </c>
      <c r="S172" s="833">
        <v>351</v>
      </c>
      <c r="T172" s="597">
        <v>0</v>
      </c>
      <c r="U172" s="871" t="s">
        <v>611</v>
      </c>
      <c r="V172" s="717" t="str">
        <f>IF(U172=listas!$C$1,listas!$B$1,IF(U172=listas!$C$2,listas!$B$2,IF(U172=listas!$C$3,listas!$B$3,IF(U172=listas!$C$4,listas!$B$4,IF(U172=listas!$C$5,listas!$B$5,IF(U172=listas!$C$6,listas!$B$6,IF(U172=listas!$C$7,listas!$B$7,IF(U172=listas!$C$8,listas!$B$8,""))))))))</f>
        <v/>
      </c>
      <c r="W172" s="1007">
        <f>51480000+2340000</f>
        <v>53820000</v>
      </c>
      <c r="X172" s="1007"/>
      <c r="Y172" s="1007"/>
      <c r="Z172" s="983">
        <f>+W172+X172+Y172</f>
        <v>53820000</v>
      </c>
      <c r="AA172" s="667">
        <f>51480000+2340000</f>
        <v>53820000</v>
      </c>
      <c r="AB172" s="667"/>
      <c r="AC172" s="667"/>
      <c r="AD172" s="667">
        <f t="shared" ref="AD172:AD176" si="82">+AA172+AB172+AC172</f>
        <v>53820000</v>
      </c>
      <c r="AE172" s="769">
        <v>43111</v>
      </c>
      <c r="AF172" s="716">
        <v>7</v>
      </c>
      <c r="AG172" s="1141" t="s">
        <v>878</v>
      </c>
      <c r="AH172" s="541"/>
      <c r="AI172" s="542"/>
      <c r="AJ172" s="542"/>
      <c r="AK172" s="626">
        <f t="shared" ref="AK172:AK173" si="83">+AH172+AI172+AJ172</f>
        <v>0</v>
      </c>
    </row>
    <row r="173" spans="1:40" ht="54" customHeight="1" x14ac:dyDescent="0.2">
      <c r="A173" s="1359"/>
      <c r="B173" s="1359"/>
      <c r="C173" s="1326"/>
      <c r="D173" s="1324"/>
      <c r="E173" s="1322"/>
      <c r="F173" s="1369"/>
      <c r="G173" s="718">
        <v>117</v>
      </c>
      <c r="H173" s="873">
        <v>309</v>
      </c>
      <c r="I173" s="978" t="s">
        <v>977</v>
      </c>
      <c r="J173" s="709">
        <v>80111600</v>
      </c>
      <c r="K173" s="638" t="s">
        <v>743</v>
      </c>
      <c r="L173" s="728">
        <v>20101</v>
      </c>
      <c r="M173" s="728" t="s">
        <v>822</v>
      </c>
      <c r="N173" s="728" t="s">
        <v>777</v>
      </c>
      <c r="O173" s="728" t="s">
        <v>813</v>
      </c>
      <c r="P173" s="650" t="s">
        <v>556</v>
      </c>
      <c r="Q173" s="546" t="s">
        <v>557</v>
      </c>
      <c r="R173" s="546" t="s">
        <v>557</v>
      </c>
      <c r="S173" s="547">
        <v>351</v>
      </c>
      <c r="T173" s="597">
        <v>0</v>
      </c>
      <c r="U173" s="818" t="s">
        <v>611</v>
      </c>
      <c r="V173" s="717" t="str">
        <f>IF(U173=listas!$C$1,listas!$B$1,IF(U173=listas!$C$2,listas!$B$2,IF(U173=listas!$C$3,listas!$B$3,IF(U173=listas!$C$4,listas!$B$4,IF(U173=listas!$C$5,listas!$B$5,IF(U173=listas!$C$6,listas!$B$6,IF(U173=listas!$C$7,listas!$B$7,IF(U173=listas!$C$8,listas!$B$8,""))))))))</f>
        <v/>
      </c>
      <c r="W173" s="1007">
        <v>53820000</v>
      </c>
      <c r="X173" s="1007"/>
      <c r="Y173" s="1007"/>
      <c r="Z173" s="983">
        <f t="shared" ref="Z173:Z189" si="84">+W173+X173+Y173</f>
        <v>53820000</v>
      </c>
      <c r="AA173" s="667">
        <v>53820000</v>
      </c>
      <c r="AB173" s="667"/>
      <c r="AC173" s="667"/>
      <c r="AD173" s="667">
        <f t="shared" si="82"/>
        <v>53820000</v>
      </c>
      <c r="AE173" s="769">
        <v>42746</v>
      </c>
      <c r="AF173" s="716">
        <v>8</v>
      </c>
      <c r="AG173" s="1141" t="s">
        <v>879</v>
      </c>
      <c r="AH173" s="541"/>
      <c r="AI173" s="542"/>
      <c r="AJ173" s="542"/>
      <c r="AK173" s="626">
        <f t="shared" si="83"/>
        <v>0</v>
      </c>
    </row>
    <row r="174" spans="1:40" ht="60" customHeight="1" x14ac:dyDescent="0.2">
      <c r="A174" s="1359"/>
      <c r="B174" s="1359"/>
      <c r="C174" s="1326"/>
      <c r="D174" s="1324"/>
      <c r="E174" s="1322"/>
      <c r="F174" s="1369"/>
      <c r="G174" s="718">
        <v>118</v>
      </c>
      <c r="H174" s="873">
        <v>310</v>
      </c>
      <c r="I174" s="978" t="s">
        <v>709</v>
      </c>
      <c r="J174" s="709">
        <v>80111600</v>
      </c>
      <c r="K174" s="638" t="s">
        <v>743</v>
      </c>
      <c r="L174" s="728">
        <v>20101</v>
      </c>
      <c r="M174" s="728" t="s">
        <v>822</v>
      </c>
      <c r="N174" s="728" t="s">
        <v>777</v>
      </c>
      <c r="O174" s="728" t="s">
        <v>813</v>
      </c>
      <c r="P174" s="650" t="s">
        <v>556</v>
      </c>
      <c r="Q174" s="546" t="s">
        <v>557</v>
      </c>
      <c r="R174" s="546" t="s">
        <v>557</v>
      </c>
      <c r="S174" s="547">
        <v>351</v>
      </c>
      <c r="T174" s="597">
        <v>0</v>
      </c>
      <c r="U174" s="818" t="s">
        <v>611</v>
      </c>
      <c r="V174" s="717" t="str">
        <f>IF(U174=listas!$C$1,listas!$B$1,IF(U174=listas!$C$2,listas!$B$2,IF(U174=listas!$C$3,listas!$B$3,IF(U174=listas!$C$4,listas!$B$4,IF(U174=listas!$C$5,listas!$B$5,IF(U174=listas!$C$6,listas!$B$6,IF(U174=listas!$C$7,listas!$B$7,IF(U174=listas!$C$8,listas!$B$8,""))))))))</f>
        <v/>
      </c>
      <c r="W174" s="1007">
        <v>46506000</v>
      </c>
      <c r="X174" s="1007"/>
      <c r="Y174" s="1007"/>
      <c r="Z174" s="983">
        <f t="shared" si="84"/>
        <v>46506000</v>
      </c>
      <c r="AA174" s="667">
        <v>46506000</v>
      </c>
      <c r="AB174" s="667"/>
      <c r="AC174" s="667"/>
      <c r="AD174" s="667">
        <f>+AA174+AB174+AC174</f>
        <v>46506000</v>
      </c>
      <c r="AE174" s="769">
        <v>43111</v>
      </c>
      <c r="AF174" s="716">
        <v>6</v>
      </c>
      <c r="AG174" s="1141" t="s">
        <v>877</v>
      </c>
      <c r="AH174" s="541"/>
      <c r="AI174" s="542"/>
      <c r="AJ174" s="542"/>
      <c r="AK174" s="626">
        <f>+AH174+AI174+AJ174</f>
        <v>0</v>
      </c>
    </row>
    <row r="175" spans="1:40" ht="63.75" customHeight="1" x14ac:dyDescent="0.2">
      <c r="A175" s="1359"/>
      <c r="B175" s="1359"/>
      <c r="C175" s="1326"/>
      <c r="D175" s="1324"/>
      <c r="E175" s="1322"/>
      <c r="F175" s="1369"/>
      <c r="G175" s="718">
        <v>119</v>
      </c>
      <c r="H175" s="873">
        <v>324</v>
      </c>
      <c r="I175" s="978" t="s">
        <v>763</v>
      </c>
      <c r="J175" s="709">
        <v>80121704</v>
      </c>
      <c r="K175" s="595" t="s">
        <v>744</v>
      </c>
      <c r="L175" s="728">
        <v>10103</v>
      </c>
      <c r="M175" s="728" t="s">
        <v>823</v>
      </c>
      <c r="N175" s="728" t="s">
        <v>777</v>
      </c>
      <c r="O175" s="728" t="s">
        <v>813</v>
      </c>
      <c r="P175" s="650" t="s">
        <v>578</v>
      </c>
      <c r="Q175" s="546" t="s">
        <v>557</v>
      </c>
      <c r="R175" s="546" t="s">
        <v>557</v>
      </c>
      <c r="S175" s="548">
        <v>345</v>
      </c>
      <c r="T175" s="597">
        <v>0</v>
      </c>
      <c r="U175" s="818" t="s">
        <v>611</v>
      </c>
      <c r="V175" s="717" t="str">
        <f>IF(U175=listas!$C$1,listas!$B$1,IF(U175=listas!$C$2,listas!$B$2,IF(U175=listas!$C$3,listas!$B$3,IF(U175=listas!$C$4,listas!$B$4,IF(U175=listas!$C$5,listas!$B$5,IF(U175=listas!$C$6,listas!$B$6,IF(U175=listas!$C$7,listas!$B$7,IF(U175=listas!$C$8,listas!$B$8,""))))))))</f>
        <v/>
      </c>
      <c r="W175" s="1007">
        <v>35880000</v>
      </c>
      <c r="X175" s="1007"/>
      <c r="Y175" s="1007"/>
      <c r="Z175" s="983">
        <f t="shared" si="84"/>
        <v>35880000</v>
      </c>
      <c r="AA175" s="667">
        <v>35880000</v>
      </c>
      <c r="AB175" s="667"/>
      <c r="AC175" s="667"/>
      <c r="AD175" s="667">
        <f t="shared" ref="AD175" si="85">+AA175+AB175+AC175</f>
        <v>35880000</v>
      </c>
      <c r="AE175" s="769">
        <v>43105</v>
      </c>
      <c r="AF175" s="716">
        <v>2</v>
      </c>
      <c r="AG175" s="1141" t="s">
        <v>883</v>
      </c>
      <c r="AH175" s="541"/>
      <c r="AI175" s="542"/>
      <c r="AJ175" s="542"/>
      <c r="AK175" s="626">
        <f>+AH175+AI175+AJ175</f>
        <v>0</v>
      </c>
    </row>
    <row r="176" spans="1:40" ht="48.75" customHeight="1" x14ac:dyDescent="0.2">
      <c r="A176" s="1359"/>
      <c r="B176" s="1359"/>
      <c r="C176" s="1326"/>
      <c r="D176" s="1324"/>
      <c r="E176" s="1322"/>
      <c r="F176" s="1369"/>
      <c r="G176" s="718">
        <v>120</v>
      </c>
      <c r="H176" s="873">
        <v>325</v>
      </c>
      <c r="I176" s="978" t="s">
        <v>577</v>
      </c>
      <c r="J176" s="709">
        <v>80121704</v>
      </c>
      <c r="K176" s="595" t="s">
        <v>744</v>
      </c>
      <c r="L176" s="728">
        <v>10103</v>
      </c>
      <c r="M176" s="728" t="s">
        <v>823</v>
      </c>
      <c r="N176" s="728" t="s">
        <v>777</v>
      </c>
      <c r="O176" s="728" t="s">
        <v>813</v>
      </c>
      <c r="P176" s="650" t="s">
        <v>578</v>
      </c>
      <c r="Q176" s="546" t="s">
        <v>557</v>
      </c>
      <c r="R176" s="546" t="s">
        <v>557</v>
      </c>
      <c r="S176" s="548">
        <v>345</v>
      </c>
      <c r="T176" s="597">
        <v>0</v>
      </c>
      <c r="U176" s="818" t="s">
        <v>611</v>
      </c>
      <c r="V176" s="717" t="str">
        <f>IF(U176=listas!$C$1,listas!$B$1,IF(U176=listas!$C$2,listas!$B$2,IF(U176=listas!$C$3,listas!$B$3,IF(U176=listas!$C$4,listas!$B$4,IF(U176=listas!$C$5,listas!$B$5,IF(U176=listas!$C$6,listas!$B$6,IF(U176=listas!$C$7,listas!$B$7,IF(U176=listas!$C$8,listas!$B$8,""))))))))</f>
        <v/>
      </c>
      <c r="W176" s="1007">
        <v>84107994</v>
      </c>
      <c r="X176" s="1007"/>
      <c r="Y176" s="1007"/>
      <c r="Z176" s="983">
        <f t="shared" si="84"/>
        <v>84107994</v>
      </c>
      <c r="AA176" s="667">
        <v>84107994</v>
      </c>
      <c r="AB176" s="667"/>
      <c r="AC176" s="667"/>
      <c r="AD176" s="667">
        <f t="shared" si="82"/>
        <v>84107994</v>
      </c>
      <c r="AE176" s="769">
        <v>43105</v>
      </c>
      <c r="AF176" s="716">
        <v>1</v>
      </c>
      <c r="AG176" s="1141" t="s">
        <v>882</v>
      </c>
      <c r="AH176" s="541"/>
      <c r="AI176" s="542"/>
      <c r="AJ176" s="542"/>
      <c r="AK176" s="626">
        <f>+AH176+AI176+AJ176</f>
        <v>0</v>
      </c>
    </row>
    <row r="177" spans="1:38" ht="87" customHeight="1" x14ac:dyDescent="0.2">
      <c r="A177" s="1359"/>
      <c r="B177" s="1359"/>
      <c r="C177" s="1326"/>
      <c r="D177" s="1324"/>
      <c r="E177" s="1322"/>
      <c r="F177" s="1369"/>
      <c r="G177" s="718">
        <v>121</v>
      </c>
      <c r="H177" s="873">
        <v>323</v>
      </c>
      <c r="I177" s="978" t="s">
        <v>741</v>
      </c>
      <c r="J177" s="709">
        <v>80121701</v>
      </c>
      <c r="K177" s="595" t="s">
        <v>745</v>
      </c>
      <c r="L177" s="728">
        <v>10103</v>
      </c>
      <c r="M177" s="728" t="s">
        <v>823</v>
      </c>
      <c r="N177" s="728" t="s">
        <v>777</v>
      </c>
      <c r="O177" s="728" t="s">
        <v>813</v>
      </c>
      <c r="P177" s="650" t="s">
        <v>579</v>
      </c>
      <c r="Q177" s="546" t="s">
        <v>557</v>
      </c>
      <c r="R177" s="546" t="s">
        <v>557</v>
      </c>
      <c r="S177" s="548">
        <v>330</v>
      </c>
      <c r="T177" s="597">
        <v>0</v>
      </c>
      <c r="U177" s="818" t="s">
        <v>611</v>
      </c>
      <c r="V177" s="717" t="str">
        <f>IF(U177=listas!$C$1,listas!$B$1,IF(U177=listas!$C$2,listas!$B$2,IF(U177=listas!$C$3,listas!$B$3,IF(U177=listas!$C$4,listas!$B$4,IF(U177=listas!$C$5,listas!$B$5,IF(U177=listas!$C$6,listas!$B$6,IF(U177=listas!$C$7,listas!$B$7,IF(U177=listas!$C$8,listas!$B$8,""))))))))</f>
        <v/>
      </c>
      <c r="W177" s="1007">
        <v>30000000</v>
      </c>
      <c r="X177" s="1007"/>
      <c r="Y177" s="1007"/>
      <c r="Z177" s="983">
        <f t="shared" si="84"/>
        <v>30000000</v>
      </c>
      <c r="AA177" s="667">
        <v>30000000</v>
      </c>
      <c r="AB177" s="667"/>
      <c r="AC177" s="667"/>
      <c r="AD177" s="667">
        <f>+AA177+AB177</f>
        <v>30000000</v>
      </c>
      <c r="AE177" s="769">
        <v>43115</v>
      </c>
      <c r="AF177" s="716">
        <v>10</v>
      </c>
      <c r="AG177" s="1141" t="s">
        <v>874</v>
      </c>
      <c r="AH177" s="541"/>
      <c r="AI177" s="542"/>
      <c r="AJ177" s="542"/>
      <c r="AK177" s="625"/>
    </row>
    <row r="178" spans="1:38" ht="86.25" customHeight="1" x14ac:dyDescent="0.2">
      <c r="A178" s="1359"/>
      <c r="B178" s="1359"/>
      <c r="C178" s="1326"/>
      <c r="D178" s="1324"/>
      <c r="E178" s="1322"/>
      <c r="F178" s="1369"/>
      <c r="G178" s="718">
        <v>122</v>
      </c>
      <c r="H178" s="873">
        <v>322</v>
      </c>
      <c r="I178" s="991" t="s">
        <v>708</v>
      </c>
      <c r="J178" s="593">
        <v>80111600</v>
      </c>
      <c r="K178" s="638" t="s">
        <v>718</v>
      </c>
      <c r="L178" s="728">
        <v>10105</v>
      </c>
      <c r="M178" s="728" t="s">
        <v>824</v>
      </c>
      <c r="N178" s="728" t="s">
        <v>777</v>
      </c>
      <c r="O178" s="728" t="s">
        <v>807</v>
      </c>
      <c r="P178" s="650" t="s">
        <v>706</v>
      </c>
      <c r="Q178" s="639" t="s">
        <v>557</v>
      </c>
      <c r="R178" s="639" t="s">
        <v>557</v>
      </c>
      <c r="S178" s="640">
        <v>6</v>
      </c>
      <c r="T178" s="597">
        <v>1</v>
      </c>
      <c r="U178" s="818" t="s">
        <v>611</v>
      </c>
      <c r="V178" s="717" t="str">
        <f>IF(U178=listas!$C$1,listas!$B$1,IF(U178=listas!$C$2,listas!$B$2,IF(U178=listas!$C$3,listas!$B$3,IF(U178=listas!$C$4,listas!$B$4,IF(U178=listas!$C$5,listas!$B$5,IF(U178=listas!$C$6,listas!$B$6,IF(U178=listas!$C$7,listas!$B$7,IF(U178=listas!$C$8,listas!$B$8,""))))))))</f>
        <v/>
      </c>
      <c r="W178" s="1007">
        <v>17850000</v>
      </c>
      <c r="X178" s="1007"/>
      <c r="Y178" s="1007"/>
      <c r="Z178" s="983">
        <f t="shared" si="84"/>
        <v>17850000</v>
      </c>
      <c r="AA178" s="667">
        <v>17850000</v>
      </c>
      <c r="AB178" s="667"/>
      <c r="AC178" s="667"/>
      <c r="AD178" s="667">
        <f t="shared" ref="AD178" si="86">+AA178+AB178+AC178</f>
        <v>17850000</v>
      </c>
      <c r="AE178" s="769">
        <v>42761</v>
      </c>
      <c r="AF178" s="770">
        <v>64</v>
      </c>
      <c r="AG178" s="1141" t="s">
        <v>934</v>
      </c>
      <c r="AH178" s="541"/>
      <c r="AI178" s="542"/>
      <c r="AJ178" s="542"/>
      <c r="AK178" s="625"/>
    </row>
    <row r="179" spans="1:38" ht="63.75" customHeight="1" x14ac:dyDescent="0.2">
      <c r="A179" s="1359"/>
      <c r="B179" s="1359"/>
      <c r="C179" s="1326"/>
      <c r="D179" s="1324"/>
      <c r="E179" s="1322"/>
      <c r="F179" s="1369"/>
      <c r="G179" s="718"/>
      <c r="H179" s="873">
        <v>321</v>
      </c>
      <c r="I179" s="978" t="s">
        <v>547</v>
      </c>
      <c r="J179" s="593">
        <v>80111601</v>
      </c>
      <c r="K179" s="595" t="s">
        <v>744</v>
      </c>
      <c r="L179" s="728">
        <v>20201</v>
      </c>
      <c r="M179" s="728" t="s">
        <v>822</v>
      </c>
      <c r="N179" s="728" t="s">
        <v>777</v>
      </c>
      <c r="O179" s="728" t="s">
        <v>807</v>
      </c>
      <c r="P179" s="650" t="s">
        <v>578</v>
      </c>
      <c r="Q179" s="546" t="s">
        <v>548</v>
      </c>
      <c r="R179" s="546" t="s">
        <v>548</v>
      </c>
      <c r="S179" s="547">
        <v>345</v>
      </c>
      <c r="T179" s="597">
        <v>0</v>
      </c>
      <c r="U179" s="818" t="s">
        <v>611</v>
      </c>
      <c r="V179" s="717" t="str">
        <f>IF(U179=listas!$C$1,listas!$B$1,IF(U179=listas!$C$2,listas!$B$2,IF(U179=listas!$C$3,listas!$B$3,IF(U179=listas!$C$4,listas!$B$4,IF(U179=listas!$C$5,listas!$B$5,IF(U179=listas!$C$6,listas!$B$6,IF(U179=listas!$C$7,listas!$B$7,IF(U179=listas!$C$8,listas!$B$8,""))))))))</f>
        <v/>
      </c>
      <c r="W179" s="1007">
        <v>40825699</v>
      </c>
      <c r="X179" s="1007"/>
      <c r="Y179" s="1007"/>
      <c r="Z179" s="983">
        <f t="shared" si="84"/>
        <v>40825699</v>
      </c>
      <c r="AA179" s="667">
        <v>40825699</v>
      </c>
      <c r="AB179" s="667"/>
      <c r="AC179" s="667"/>
      <c r="AD179" s="667">
        <f t="shared" ref="AD179" si="87">+AA179+AB179+AC179</f>
        <v>40825699</v>
      </c>
      <c r="AE179" s="769">
        <v>43116</v>
      </c>
      <c r="AF179" s="770">
        <v>15</v>
      </c>
      <c r="AG179" s="1142" t="s">
        <v>884</v>
      </c>
      <c r="AH179" s="541"/>
      <c r="AI179" s="542"/>
      <c r="AJ179" s="542"/>
      <c r="AK179" s="625"/>
    </row>
    <row r="180" spans="1:38" ht="37.5" customHeight="1" x14ac:dyDescent="0.2">
      <c r="A180" s="1359" t="str">
        <f>+A172</f>
        <v>184 Fortalecimiento de la gestión educativa institucional</v>
      </c>
      <c r="B180" s="1359" t="str">
        <f t="shared" ref="B180:F180" si="88">+B172</f>
        <v>Codido 419
Sostener en el 100% la implementación del Sistema Integrado de Gestión</v>
      </c>
      <c r="C180" s="1359" t="str">
        <f t="shared" si="88"/>
        <v>Sostenibilidad del   Sistema Integrado de Gestión</v>
      </c>
      <c r="D180" s="1359" t="str">
        <f t="shared" si="88"/>
        <v>Sostener 100% la implementación del Sistema Integrado de Gestión</v>
      </c>
      <c r="E180" s="1359" t="str">
        <f t="shared" si="88"/>
        <v>Sostenibilidad del Sistema Integrado de Gestión</v>
      </c>
      <c r="F180" s="1425" t="str">
        <f t="shared" si="88"/>
        <v>Sostenibilidad del SIG en el ámbito de los subsistemas de Calidad, Control Interno, Seguridad de la Información y Gestión Documental y Archivo</v>
      </c>
      <c r="G180" s="718"/>
      <c r="H180" s="798"/>
      <c r="I180" s="991" t="s">
        <v>582</v>
      </c>
      <c r="J180" s="829">
        <v>43211507</v>
      </c>
      <c r="K180" s="638" t="s">
        <v>743</v>
      </c>
      <c r="L180" s="709">
        <v>20102</v>
      </c>
      <c r="M180" s="829" t="s">
        <v>819</v>
      </c>
      <c r="N180" s="829" t="s">
        <v>780</v>
      </c>
      <c r="O180" s="829" t="s">
        <v>825</v>
      </c>
      <c r="P180" s="650" t="s">
        <v>556</v>
      </c>
      <c r="Q180" s="639" t="s">
        <v>109</v>
      </c>
      <c r="R180" s="639" t="s">
        <v>35</v>
      </c>
      <c r="S180" s="833">
        <v>360</v>
      </c>
      <c r="T180" s="597">
        <v>0</v>
      </c>
      <c r="U180" s="831" t="s">
        <v>950</v>
      </c>
      <c r="V180" s="717" t="str">
        <f>IF(U180=listas!$C$1,listas!$B$1,IF(U180=listas!$C$2,listas!$B$2,IF(U180=listas!$C$3,listas!$B$3,IF(U180=listas!$C$4,listas!$B$4,IF(U180=listas!$C$5,listas!$B$5,IF(U180=listas!$C$6,listas!$B$6,IF(U180=listas!$C$7,listas!$B$7,IF(U180=listas!$C$8,listas!$B$8,""))))))))</f>
        <v>CCE-07</v>
      </c>
      <c r="W180" s="982">
        <f>(22000000-4406000)+2000000-5885994-753038+2000000-14954968</f>
        <v>0</v>
      </c>
      <c r="X180" s="1007"/>
      <c r="Y180" s="1007">
        <f>60406000-37692283-22713717</f>
        <v>0</v>
      </c>
      <c r="Z180" s="983">
        <f t="shared" si="84"/>
        <v>0</v>
      </c>
      <c r="AA180" s="771"/>
      <c r="AB180" s="668"/>
      <c r="AC180" s="668"/>
      <c r="AD180" s="667"/>
      <c r="AE180" s="769"/>
      <c r="AF180" s="770"/>
      <c r="AG180" s="1141"/>
      <c r="AH180" s="541"/>
      <c r="AI180" s="542"/>
      <c r="AJ180" s="542"/>
      <c r="AK180" s="625"/>
    </row>
    <row r="181" spans="1:38" ht="36.75" customHeight="1" x14ac:dyDescent="0.2">
      <c r="A181" s="1359"/>
      <c r="B181" s="1359"/>
      <c r="C181" s="1359"/>
      <c r="D181" s="1359"/>
      <c r="E181" s="1359"/>
      <c r="F181" s="1359"/>
      <c r="G181" s="798">
        <v>163</v>
      </c>
      <c r="H181" s="798">
        <v>348</v>
      </c>
      <c r="I181" s="991" t="s">
        <v>978</v>
      </c>
      <c r="J181" s="943">
        <v>43211507</v>
      </c>
      <c r="K181" s="638" t="s">
        <v>743</v>
      </c>
      <c r="L181" s="709">
        <v>20102</v>
      </c>
      <c r="M181" s="943" t="s">
        <v>819</v>
      </c>
      <c r="N181" s="943" t="s">
        <v>780</v>
      </c>
      <c r="O181" s="943" t="s">
        <v>825</v>
      </c>
      <c r="P181" s="650" t="s">
        <v>556</v>
      </c>
      <c r="Q181" s="639" t="s">
        <v>389</v>
      </c>
      <c r="R181" s="639" t="s">
        <v>358</v>
      </c>
      <c r="S181" s="833">
        <v>3</v>
      </c>
      <c r="T181" s="597">
        <v>1</v>
      </c>
      <c r="U181" s="952" t="s">
        <v>950</v>
      </c>
      <c r="V181" s="717" t="str">
        <f>IF(U181=listas!$C$1,listas!$B$1,IF(U181=listas!$C$2,listas!$B$2,IF(U181=listas!$C$3,listas!$B$3,IF(U181=listas!$C$4,listas!$B$4,IF(U181=listas!$C$5,listas!$B$5,IF(U181=listas!$C$6,listas!$B$6,IF(U181=listas!$C$7,listas!$B$7,IF(U181=listas!$C$8,listas!$B$8,""))))))))</f>
        <v>CCE-07</v>
      </c>
      <c r="W181" s="982">
        <v>15403933</v>
      </c>
      <c r="X181" s="1007"/>
      <c r="Y181" s="1007">
        <f>37692283+823664</f>
        <v>38515947</v>
      </c>
      <c r="Z181" s="983">
        <f>+W181+X181+Y181</f>
        <v>53919880</v>
      </c>
      <c r="AA181" s="771">
        <v>15403933</v>
      </c>
      <c r="AB181" s="668"/>
      <c r="AC181" s="668">
        <v>38515947</v>
      </c>
      <c r="AD181" s="667">
        <f>+AA181+AB181+AC181</f>
        <v>53919880</v>
      </c>
      <c r="AE181" s="769">
        <v>43285</v>
      </c>
      <c r="AF181" s="770">
        <v>77</v>
      </c>
      <c r="AG181" s="1141" t="s">
        <v>987</v>
      </c>
      <c r="AH181" s="541"/>
      <c r="AI181" s="542"/>
      <c r="AJ181" s="542"/>
      <c r="AK181" s="625"/>
    </row>
    <row r="182" spans="1:38" ht="0.75" customHeight="1" x14ac:dyDescent="0.2">
      <c r="A182" s="1359"/>
      <c r="B182" s="1359"/>
      <c r="C182" s="1359"/>
      <c r="D182" s="1359"/>
      <c r="E182" s="1359"/>
      <c r="F182" s="1359"/>
      <c r="G182" s="718"/>
      <c r="H182" s="873"/>
      <c r="I182" s="651" t="s">
        <v>989</v>
      </c>
      <c r="J182" s="880"/>
      <c r="K182" s="638"/>
      <c r="L182" s="709"/>
      <c r="M182" s="880"/>
      <c r="N182" s="880"/>
      <c r="O182" s="880"/>
      <c r="P182" s="650"/>
      <c r="Q182" s="639"/>
      <c r="R182" s="639"/>
      <c r="S182" s="833"/>
      <c r="T182" s="597"/>
      <c r="U182" s="881"/>
      <c r="V182" s="717"/>
      <c r="W182" s="668">
        <v>0</v>
      </c>
      <c r="X182" s="667"/>
      <c r="Y182" s="667">
        <f>21890053-21890053</f>
        <v>0</v>
      </c>
      <c r="Z182" s="912">
        <f>+W182+X182+Y182</f>
        <v>0</v>
      </c>
      <c r="AA182" s="771"/>
      <c r="AB182" s="668"/>
      <c r="AC182" s="668"/>
      <c r="AD182" s="667"/>
      <c r="AE182" s="769"/>
      <c r="AF182" s="770"/>
      <c r="AG182" s="549"/>
      <c r="AH182" s="541"/>
      <c r="AI182" s="542"/>
      <c r="AJ182" s="542"/>
      <c r="AK182" s="625"/>
    </row>
    <row r="183" spans="1:38" ht="98.25" customHeight="1" x14ac:dyDescent="0.2">
      <c r="A183" s="1359"/>
      <c r="B183" s="1359"/>
      <c r="C183" s="1359"/>
      <c r="D183" s="1359"/>
      <c r="E183" s="1359"/>
      <c r="F183" s="1359"/>
      <c r="G183" s="798">
        <v>163</v>
      </c>
      <c r="H183" s="798"/>
      <c r="I183" s="991" t="s">
        <v>992</v>
      </c>
      <c r="J183" s="911">
        <v>80111600</v>
      </c>
      <c r="K183" s="638" t="s">
        <v>829</v>
      </c>
      <c r="L183" s="709">
        <v>10101</v>
      </c>
      <c r="M183" s="906" t="s">
        <v>829</v>
      </c>
      <c r="N183" s="906">
        <v>2.1</v>
      </c>
      <c r="O183" s="906" t="s">
        <v>807</v>
      </c>
      <c r="P183" s="650" t="s">
        <v>579</v>
      </c>
      <c r="Q183" s="639" t="s">
        <v>101</v>
      </c>
      <c r="R183" s="639" t="s">
        <v>101</v>
      </c>
      <c r="S183" s="833">
        <v>138</v>
      </c>
      <c r="T183" s="597">
        <v>0</v>
      </c>
      <c r="U183" s="907" t="s">
        <v>611</v>
      </c>
      <c r="V183" s="717" t="str">
        <f>IF(U183=listas!$C$1,listas!$B$1,IF(U183=listas!$C$2,listas!$B$2,IF(U183=listas!$C$3,listas!$B$3,IF(U183=listas!$C$4,listas!$B$4,IF(U183=listas!$C$5,listas!$B$5,IF(U183=listas!$C$6,listas!$B$6,IF(U183=listas!$C$7,listas!$B$7,IF(U183=listas!$C$8,listas!$B$8,""))))))))</f>
        <v/>
      </c>
      <c r="W183" s="982">
        <v>6038361</v>
      </c>
      <c r="X183" s="1007"/>
      <c r="Y183" s="1007">
        <v>21890053</v>
      </c>
      <c r="Z183" s="983">
        <f>+W183+X183+Y183</f>
        <v>27928414</v>
      </c>
      <c r="AA183" s="771">
        <v>6038361</v>
      </c>
      <c r="AB183" s="668"/>
      <c r="AC183" s="668">
        <v>21890053</v>
      </c>
      <c r="AD183" s="667">
        <f>+AA183+AB183+AC183</f>
        <v>27928414</v>
      </c>
      <c r="AE183" s="769">
        <v>43320</v>
      </c>
      <c r="AF183" s="770">
        <v>81</v>
      </c>
      <c r="AG183" s="1141" t="s">
        <v>1061</v>
      </c>
      <c r="AH183" s="541"/>
      <c r="AI183" s="542"/>
      <c r="AJ183" s="542"/>
      <c r="AK183" s="625"/>
    </row>
    <row r="184" spans="1:38" ht="22.5" hidden="1" customHeight="1" x14ac:dyDescent="0.2">
      <c r="A184" s="1359"/>
      <c r="B184" s="1359"/>
      <c r="C184" s="1359"/>
      <c r="D184" s="1359"/>
      <c r="E184" s="1359"/>
      <c r="F184" s="1425"/>
      <c r="G184" s="718">
        <v>148</v>
      </c>
      <c r="H184" s="718"/>
      <c r="I184" s="978" t="s">
        <v>948</v>
      </c>
      <c r="J184" s="829">
        <v>43211507</v>
      </c>
      <c r="K184" s="638" t="s">
        <v>743</v>
      </c>
      <c r="L184" s="709">
        <v>20102</v>
      </c>
      <c r="M184" s="829" t="s">
        <v>819</v>
      </c>
      <c r="N184" s="829" t="s">
        <v>780</v>
      </c>
      <c r="O184" s="829" t="s">
        <v>825</v>
      </c>
      <c r="P184" s="650" t="s">
        <v>556</v>
      </c>
      <c r="Q184" s="639" t="s">
        <v>109</v>
      </c>
      <c r="R184" s="639" t="s">
        <v>35</v>
      </c>
      <c r="S184" s="833">
        <v>360</v>
      </c>
      <c r="T184" s="597">
        <v>0</v>
      </c>
      <c r="U184" s="831" t="s">
        <v>597</v>
      </c>
      <c r="V184" s="717" t="str">
        <f>IF(U184=listas!$C$1,listas!$B$1,IF(U184=listas!$C$2,listas!$B$2,IF(U184=listas!$C$3,listas!$B$3,IF(U184=listas!$C$4,listas!$B$4,IF(U184=listas!$C$5,listas!$B$5,IF(U184=listas!$C$6,listas!$B$6,IF(U184=listas!$C$7,listas!$B$7,IF(U184=listas!$C$8,listas!$B$8,""))))))))</f>
        <v>CCE-10</v>
      </c>
      <c r="W184" s="982"/>
      <c r="X184" s="1007"/>
      <c r="Y184" s="1007"/>
      <c r="Z184" s="983">
        <f>+W184+X184+Y184</f>
        <v>0</v>
      </c>
      <c r="AA184" s="771"/>
      <c r="AB184" s="668"/>
      <c r="AC184" s="668"/>
      <c r="AD184" s="667"/>
      <c r="AE184" s="769"/>
      <c r="AF184" s="770"/>
      <c r="AG184" s="1141"/>
      <c r="AH184" s="541"/>
      <c r="AI184" s="542"/>
      <c r="AJ184" s="542"/>
      <c r="AK184" s="625"/>
    </row>
    <row r="185" spans="1:38" ht="33" customHeight="1" x14ac:dyDescent="0.2">
      <c r="A185" s="1359"/>
      <c r="B185" s="1359"/>
      <c r="C185" s="1359"/>
      <c r="D185" s="1359"/>
      <c r="E185" s="1359"/>
      <c r="F185" s="1359"/>
      <c r="G185" s="718">
        <v>125</v>
      </c>
      <c r="H185" s="718">
        <v>349</v>
      </c>
      <c r="I185" s="1005" t="s">
        <v>990</v>
      </c>
      <c r="J185" s="829">
        <v>43201618</v>
      </c>
      <c r="K185" s="638" t="s">
        <v>743</v>
      </c>
      <c r="L185" s="709">
        <v>20102</v>
      </c>
      <c r="M185" s="829" t="s">
        <v>819</v>
      </c>
      <c r="N185" s="829" t="s">
        <v>780</v>
      </c>
      <c r="O185" s="829" t="s">
        <v>825</v>
      </c>
      <c r="P185" s="650" t="s">
        <v>556</v>
      </c>
      <c r="Q185" s="639" t="s">
        <v>358</v>
      </c>
      <c r="R185" s="639" t="s">
        <v>101</v>
      </c>
      <c r="S185" s="833">
        <v>2</v>
      </c>
      <c r="T185" s="597">
        <v>1</v>
      </c>
      <c r="U185" s="831" t="s">
        <v>597</v>
      </c>
      <c r="V185" s="717" t="str">
        <f>IF(U185=listas!$C$1,listas!$B$1,IF(U185=listas!$C$2,listas!$B$2,IF(U185=listas!$C$3,listas!$B$3,IF(U185=listas!$C$4,listas!$B$4,IF(U185=listas!$C$5,listas!$B$5,IF(U185=listas!$C$6,listas!$B$6,IF(U185=listas!$C$7,listas!$B$7,IF(U185=listas!$C$8,listas!$B$8,""))))))))</f>
        <v>CCE-10</v>
      </c>
      <c r="W185" s="982">
        <f>10935776-10935776</f>
        <v>0</v>
      </c>
      <c r="X185" s="1007"/>
      <c r="Y185" s="1007"/>
      <c r="Z185" s="983">
        <f>+W185+X185+Y185</f>
        <v>0</v>
      </c>
      <c r="AA185" s="653"/>
      <c r="AB185" s="668"/>
      <c r="AC185" s="668"/>
      <c r="AD185" s="667"/>
      <c r="AE185" s="769"/>
      <c r="AF185" s="770"/>
      <c r="AG185" s="1141"/>
      <c r="AH185" s="541"/>
      <c r="AI185" s="542"/>
      <c r="AJ185" s="542"/>
      <c r="AK185" s="625"/>
    </row>
    <row r="186" spans="1:38" ht="56.25" customHeight="1" x14ac:dyDescent="0.2">
      <c r="A186" s="1359"/>
      <c r="B186" s="1359"/>
      <c r="C186" s="1359"/>
      <c r="D186" s="1359"/>
      <c r="E186" s="1359"/>
      <c r="F186" s="1425"/>
      <c r="G186" s="718">
        <v>126</v>
      </c>
      <c r="H186" s="873">
        <v>320</v>
      </c>
      <c r="I186" s="1006" t="s">
        <v>558</v>
      </c>
      <c r="J186" s="829">
        <v>80111600</v>
      </c>
      <c r="K186" s="638" t="s">
        <v>743</v>
      </c>
      <c r="L186" s="709">
        <v>20102</v>
      </c>
      <c r="M186" s="829" t="s">
        <v>819</v>
      </c>
      <c r="N186" s="829" t="s">
        <v>777</v>
      </c>
      <c r="O186" s="829" t="s">
        <v>807</v>
      </c>
      <c r="P186" s="650" t="s">
        <v>556</v>
      </c>
      <c r="Q186" s="639" t="s">
        <v>548</v>
      </c>
      <c r="R186" s="639" t="s">
        <v>557</v>
      </c>
      <c r="S186" s="833">
        <v>360</v>
      </c>
      <c r="T186" s="597">
        <v>0</v>
      </c>
      <c r="U186" s="831" t="s">
        <v>611</v>
      </c>
      <c r="V186" s="717" t="str">
        <f>IF(U186=listas!$C$1,listas!$B$1,IF(U186=listas!$C$2,listas!$B$2,IF(U186=listas!$C$3,listas!$B$3,IF(U186=listas!$C$4,listas!$B$4,IF(U186=listas!$C$5,listas!$B$5,IF(U186=listas!$C$6,listas!$B$6,IF(U186=listas!$C$7,listas!$B$7,IF(U186=listas!$C$8,listas!$B$8,""))))))))</f>
        <v/>
      </c>
      <c r="W186" s="982">
        <f>(62650598)+(500000*12)</f>
        <v>68650598</v>
      </c>
      <c r="X186" s="1007"/>
      <c r="Y186" s="1007"/>
      <c r="Z186" s="983">
        <f t="shared" si="84"/>
        <v>68650598</v>
      </c>
      <c r="AA186" s="668">
        <f>(62650598)+(500000*12)</f>
        <v>68650598</v>
      </c>
      <c r="AB186" s="667"/>
      <c r="AC186" s="667"/>
      <c r="AD186" s="667">
        <f t="shared" ref="AD186" si="89">+AA186+AB186+AC186</f>
        <v>68650598</v>
      </c>
      <c r="AE186" s="769">
        <v>43126</v>
      </c>
      <c r="AF186" s="770">
        <v>70</v>
      </c>
      <c r="AG186" s="1141" t="s">
        <v>881</v>
      </c>
      <c r="AH186" s="541"/>
      <c r="AI186" s="542"/>
      <c r="AJ186" s="542"/>
      <c r="AK186" s="625"/>
    </row>
    <row r="187" spans="1:38" ht="42" customHeight="1" x14ac:dyDescent="0.2">
      <c r="A187" s="1359"/>
      <c r="B187" s="1359"/>
      <c r="C187" s="1359"/>
      <c r="D187" s="1359"/>
      <c r="E187" s="1359"/>
      <c r="F187" s="1425"/>
      <c r="G187" s="718">
        <v>127</v>
      </c>
      <c r="H187" s="873">
        <v>319</v>
      </c>
      <c r="I187" s="991" t="s">
        <v>580</v>
      </c>
      <c r="J187" s="829">
        <v>81116000</v>
      </c>
      <c r="K187" s="638" t="s">
        <v>716</v>
      </c>
      <c r="L187" s="829">
        <v>1010805</v>
      </c>
      <c r="M187" s="829" t="s">
        <v>826</v>
      </c>
      <c r="N187" s="829" t="s">
        <v>777</v>
      </c>
      <c r="O187" s="829" t="s">
        <v>807</v>
      </c>
      <c r="P187" s="650" t="s">
        <v>647</v>
      </c>
      <c r="Q187" s="639" t="s">
        <v>548</v>
      </c>
      <c r="R187" s="639" t="s">
        <v>548</v>
      </c>
      <c r="S187" s="833">
        <v>345</v>
      </c>
      <c r="T187" s="597">
        <v>0</v>
      </c>
      <c r="U187" s="831" t="s">
        <v>611</v>
      </c>
      <c r="V187" s="717" t="str">
        <f>IF(U187=listas!$C$1,listas!$B$1,IF(U187=listas!$C$2,listas!$B$2,IF(U187=listas!$C$3,listas!$B$3,IF(U187=listas!$C$4,listas!$B$4,IF(U187=listas!$C$5,listas!$B$5,IF(U187=listas!$C$6,listas!$B$6,IF(U187=listas!$C$7,listas!$B$7,IF(U187=listas!$C$8,listas!$B$8,""))))))))</f>
        <v/>
      </c>
      <c r="W187" s="982">
        <v>26952849</v>
      </c>
      <c r="X187" s="1007"/>
      <c r="Y187" s="1007"/>
      <c r="Z187" s="983">
        <f t="shared" si="84"/>
        <v>26952849</v>
      </c>
      <c r="AA187" s="653">
        <v>26952849</v>
      </c>
      <c r="AB187" s="668"/>
      <c r="AC187" s="668"/>
      <c r="AD187" s="667">
        <f>+AA187+AB187</f>
        <v>26952849</v>
      </c>
      <c r="AE187" s="768">
        <v>43117</v>
      </c>
      <c r="AF187" s="770">
        <v>20</v>
      </c>
      <c r="AG187" s="1143" t="s">
        <v>873</v>
      </c>
      <c r="AH187" s="541"/>
      <c r="AI187" s="542"/>
      <c r="AJ187" s="542"/>
      <c r="AK187" s="625"/>
    </row>
    <row r="188" spans="1:38" ht="41.25" customHeight="1" x14ac:dyDescent="0.2">
      <c r="A188" s="1359"/>
      <c r="B188" s="1359"/>
      <c r="C188" s="1359"/>
      <c r="D188" s="1359"/>
      <c r="E188" s="1359"/>
      <c r="F188" s="1426"/>
      <c r="G188" s="718">
        <v>128</v>
      </c>
      <c r="H188" s="873">
        <v>318</v>
      </c>
      <c r="I188" s="576" t="s">
        <v>717</v>
      </c>
      <c r="J188" s="829">
        <v>81116000</v>
      </c>
      <c r="K188" s="638" t="s">
        <v>716</v>
      </c>
      <c r="L188" s="829">
        <v>1010805</v>
      </c>
      <c r="M188" s="829" t="s">
        <v>826</v>
      </c>
      <c r="N188" s="829" t="s">
        <v>827</v>
      </c>
      <c r="O188" s="829" t="s">
        <v>828</v>
      </c>
      <c r="P188" s="650" t="s">
        <v>647</v>
      </c>
      <c r="Q188" s="639" t="s">
        <v>548</v>
      </c>
      <c r="R188" s="639" t="s">
        <v>548</v>
      </c>
      <c r="S188" s="833">
        <v>345</v>
      </c>
      <c r="T188" s="597">
        <v>0</v>
      </c>
      <c r="U188" s="831" t="s">
        <v>611</v>
      </c>
      <c r="V188" s="717" t="str">
        <f>IF(U188=listas!$C$1,listas!$B$1,IF(U188=listas!$C$2,listas!$B$2,IF(U188=listas!$C$3,listas!$B$3,IF(U188=listas!$C$4,listas!$B$4,IF(U188=listas!$C$5,listas!$B$5,IF(U188=listas!$C$6,listas!$B$6,IF(U188=listas!$C$7,listas!$B$7,IF(U188=listas!$C$8,listas!$B$8,""))))))))</f>
        <v/>
      </c>
      <c r="W188" s="982">
        <v>17968566</v>
      </c>
      <c r="X188" s="1007"/>
      <c r="Y188" s="1007"/>
      <c r="Z188" s="983">
        <f t="shared" si="84"/>
        <v>17968566</v>
      </c>
      <c r="AA188" s="653">
        <v>17968566</v>
      </c>
      <c r="AB188" s="668"/>
      <c r="AC188" s="668"/>
      <c r="AD188" s="667">
        <f>+AA188+AB188</f>
        <v>17968566</v>
      </c>
      <c r="AE188" s="768">
        <v>43117</v>
      </c>
      <c r="AF188" s="770">
        <v>21</v>
      </c>
      <c r="AG188" s="1143" t="s">
        <v>872</v>
      </c>
      <c r="AH188" s="541"/>
      <c r="AI188" s="542"/>
      <c r="AJ188" s="542"/>
      <c r="AK188" s="625"/>
    </row>
    <row r="189" spans="1:38" ht="0.75" customHeight="1" x14ac:dyDescent="0.2">
      <c r="A189" s="1359"/>
      <c r="B189" s="1359"/>
      <c r="C189" s="1359"/>
      <c r="D189" s="1359"/>
      <c r="E189" s="1359"/>
      <c r="F189" s="724"/>
      <c r="G189" s="718">
        <v>134</v>
      </c>
      <c r="H189" s="873">
        <v>317</v>
      </c>
      <c r="I189" s="651" t="s">
        <v>781</v>
      </c>
      <c r="J189" s="829">
        <v>80111600</v>
      </c>
      <c r="K189" s="638" t="s">
        <v>716</v>
      </c>
      <c r="L189" s="829">
        <v>1010805</v>
      </c>
      <c r="M189" s="829" t="s">
        <v>826</v>
      </c>
      <c r="N189" s="829" t="s">
        <v>827</v>
      </c>
      <c r="O189" s="829" t="s">
        <v>828</v>
      </c>
      <c r="P189" s="650" t="s">
        <v>647</v>
      </c>
      <c r="Q189" s="639" t="s">
        <v>358</v>
      </c>
      <c r="R189" s="639" t="s">
        <v>358</v>
      </c>
      <c r="S189" s="833">
        <v>1</v>
      </c>
      <c r="T189" s="597">
        <v>1</v>
      </c>
      <c r="U189" s="831" t="s">
        <v>611</v>
      </c>
      <c r="V189" s="717" t="str">
        <f>IF(U189=listas!$C$1,listas!$B$1,IF(U189=listas!$C$2,listas!$B$2,IF(U189=listas!$C$3,listas!$B$3,IF(U189=listas!$C$4,listas!$B$4,IF(U189=listas!$C$5,listas!$B$5,IF(U189=listas!$C$6,listas!$B$6,IF(U189=listas!$C$7,listas!$B$7,IF(U189=listas!$C$8,listas!$B$8,""))))))))</f>
        <v/>
      </c>
      <c r="W189" s="668">
        <f>4390585-4390585</f>
        <v>0</v>
      </c>
      <c r="X189" s="667"/>
      <c r="Y189" s="667"/>
      <c r="Z189" s="912">
        <f t="shared" si="84"/>
        <v>0</v>
      </c>
      <c r="AA189" s="653"/>
      <c r="AB189" s="668"/>
      <c r="AC189" s="668"/>
      <c r="AD189" s="667"/>
      <c r="AE189" s="667"/>
      <c r="AF189" s="754"/>
      <c r="AG189" s="549"/>
      <c r="AH189" s="541"/>
      <c r="AI189" s="542"/>
      <c r="AJ189" s="542"/>
      <c r="AK189" s="625"/>
    </row>
    <row r="190" spans="1:38" ht="21" customHeight="1" x14ac:dyDescent="0.2">
      <c r="A190" s="1360"/>
      <c r="B190" s="1360"/>
      <c r="C190" s="1360"/>
      <c r="D190" s="1360"/>
      <c r="E190" s="1360"/>
      <c r="F190" s="1347" t="s">
        <v>500</v>
      </c>
      <c r="G190" s="1348"/>
      <c r="H190" s="1348"/>
      <c r="I190" s="1348"/>
      <c r="J190" s="1348"/>
      <c r="K190" s="1348"/>
      <c r="L190" s="1348"/>
      <c r="M190" s="1348"/>
      <c r="N190" s="1348"/>
      <c r="O190" s="1348"/>
      <c r="P190" s="1348"/>
      <c r="Q190" s="1348"/>
      <c r="R190" s="1348"/>
      <c r="S190" s="1348"/>
      <c r="T190" s="1348"/>
      <c r="U190" s="1349"/>
      <c r="V190" s="1003"/>
      <c r="W190" s="1004">
        <f t="shared" ref="W190:AD190" si="90">SUM(W172:W189)</f>
        <v>497824000</v>
      </c>
      <c r="X190" s="1004">
        <f t="shared" si="90"/>
        <v>0</v>
      </c>
      <c r="Y190" s="1004">
        <f t="shared" si="90"/>
        <v>60406000</v>
      </c>
      <c r="Z190" s="1004">
        <f t="shared" si="90"/>
        <v>558230000</v>
      </c>
      <c r="AA190" s="669">
        <f t="shared" si="90"/>
        <v>497824000</v>
      </c>
      <c r="AB190" s="669">
        <f t="shared" si="90"/>
        <v>0</v>
      </c>
      <c r="AC190" s="669">
        <f t="shared" si="90"/>
        <v>60406000</v>
      </c>
      <c r="AD190" s="669">
        <f t="shared" si="90"/>
        <v>558230000</v>
      </c>
      <c r="AE190" s="669"/>
      <c r="AF190" s="835"/>
      <c r="AG190" s="792"/>
      <c r="AH190" s="669">
        <v>488374982</v>
      </c>
      <c r="AI190" s="669">
        <f>37692283+22713717</f>
        <v>60406000</v>
      </c>
      <c r="AJ190" s="669"/>
      <c r="AK190" s="669">
        <f>+AH190+AI190+AJ190</f>
        <v>548780982</v>
      </c>
      <c r="AL190" s="749"/>
    </row>
    <row r="191" spans="1:38" ht="61.5" customHeight="1" x14ac:dyDescent="0.2">
      <c r="A191" s="1427" t="str">
        <f>+A172</f>
        <v>184 Fortalecimiento de la gestión educativa institucional</v>
      </c>
      <c r="B191" s="1427" t="str">
        <f>+B172</f>
        <v>Codido 419
Sostener en el 100% la implementación del Sistema Integrado de Gestión</v>
      </c>
      <c r="C191" s="1427" t="str">
        <f>+C172</f>
        <v>Sostenibilidad del   Sistema Integrado de Gestión</v>
      </c>
      <c r="D191" s="1427" t="str">
        <f>+D172</f>
        <v>Sostener 100% la implementación del Sistema Integrado de Gestión</v>
      </c>
      <c r="E191" s="1427" t="str">
        <f>+E172</f>
        <v>Sostenibilidad del Sistema Integrado de Gestión</v>
      </c>
      <c r="F191" s="1365" t="s">
        <v>508</v>
      </c>
      <c r="G191" s="976">
        <v>129</v>
      </c>
      <c r="H191" s="977">
        <v>314</v>
      </c>
      <c r="I191" s="978" t="s">
        <v>715</v>
      </c>
      <c r="J191" s="952">
        <v>80111600</v>
      </c>
      <c r="K191" s="576" t="s">
        <v>745</v>
      </c>
      <c r="L191" s="950">
        <v>10101</v>
      </c>
      <c r="M191" s="950" t="s">
        <v>829</v>
      </c>
      <c r="N191" s="950" t="s">
        <v>777</v>
      </c>
      <c r="O191" s="950" t="s">
        <v>807</v>
      </c>
      <c r="P191" s="979" t="s">
        <v>579</v>
      </c>
      <c r="Q191" s="980" t="s">
        <v>548</v>
      </c>
      <c r="R191" s="980" t="s">
        <v>548</v>
      </c>
      <c r="S191" s="981">
        <v>345</v>
      </c>
      <c r="T191" s="941">
        <v>0</v>
      </c>
      <c r="U191" s="952" t="s">
        <v>611</v>
      </c>
      <c r="V191" s="717" t="str">
        <f>IF(U191=listas!$C$1,listas!$B$1,IF(U191=listas!$C$2,listas!$B$2,IF(U191=listas!$C$3,listas!$B$3,IF(U191=listas!$C$4,listas!$B$4,IF(U191=listas!$C$5,listas!$B$5,IF(U191=listas!$C$6,listas!$B$6,IF(U191=listas!$C$7,listas!$B$7,IF(U191=listas!$C$8,listas!$B$8,""))))))))</f>
        <v/>
      </c>
      <c r="W191" s="970">
        <v>40664000</v>
      </c>
      <c r="X191" s="971"/>
      <c r="Y191" s="971"/>
      <c r="Z191" s="972">
        <f t="shared" ref="Z191:Z203" si="91">+W191+X191+Y191</f>
        <v>40664000</v>
      </c>
      <c r="AA191" s="653">
        <v>40664000</v>
      </c>
      <c r="AB191" s="668"/>
      <c r="AC191" s="668"/>
      <c r="AD191" s="677">
        <f>+AA191+AB191</f>
        <v>40664000</v>
      </c>
      <c r="AE191" s="768">
        <v>43117</v>
      </c>
      <c r="AF191" s="770">
        <v>18</v>
      </c>
      <c r="AG191" s="1144" t="s">
        <v>976</v>
      </c>
      <c r="AH191" s="544"/>
      <c r="AI191" s="543" t="s">
        <v>18</v>
      </c>
      <c r="AJ191" s="543"/>
      <c r="AK191" s="625"/>
    </row>
    <row r="192" spans="1:38" ht="40.5" customHeight="1" x14ac:dyDescent="0.2">
      <c r="A192" s="1427"/>
      <c r="B192" s="1427"/>
      <c r="C192" s="1427"/>
      <c r="D192" s="1427"/>
      <c r="E192" s="1427"/>
      <c r="F192" s="1366"/>
      <c r="G192" s="976">
        <v>130</v>
      </c>
      <c r="H192" s="976"/>
      <c r="I192" s="978" t="s">
        <v>581</v>
      </c>
      <c r="J192" s="570">
        <v>80111600</v>
      </c>
      <c r="K192" s="576" t="s">
        <v>745</v>
      </c>
      <c r="L192" s="557">
        <v>10106</v>
      </c>
      <c r="M192" s="557" t="s">
        <v>830</v>
      </c>
      <c r="N192" s="950" t="s">
        <v>777</v>
      </c>
      <c r="O192" s="950" t="s">
        <v>807</v>
      </c>
      <c r="P192" s="984" t="s">
        <v>579</v>
      </c>
      <c r="Q192" s="985" t="s">
        <v>109</v>
      </c>
      <c r="R192" s="985" t="s">
        <v>109</v>
      </c>
      <c r="S192" s="986">
        <v>150</v>
      </c>
      <c r="T192" s="987">
        <v>0</v>
      </c>
      <c r="U192" s="952" t="s">
        <v>611</v>
      </c>
      <c r="V192" s="717" t="str">
        <f>IF(U192=listas!$C$1,listas!$B$1,IF(U192=listas!$C$2,listas!$B$2,IF(U192=listas!$C$3,listas!$B$3,IF(U192=listas!$C$4,listas!$B$4,IF(U192=listas!$C$5,listas!$B$5,IF(U192=listas!$C$6,listas!$B$6,IF(U192=listas!$C$7,listas!$B$7,IF(U192=listas!$C$8,listas!$B$8,""))))))))</f>
        <v/>
      </c>
      <c r="W192" s="970">
        <v>18000000</v>
      </c>
      <c r="X192" s="971"/>
      <c r="Y192" s="971"/>
      <c r="Z192" s="972">
        <f t="shared" si="91"/>
        <v>18000000</v>
      </c>
      <c r="AA192" s="653">
        <v>18000000</v>
      </c>
      <c r="AB192" s="668"/>
      <c r="AC192" s="668"/>
      <c r="AD192" s="677">
        <f t="shared" ref="AD192:AD195" si="92">+AA192+AB192</f>
        <v>18000000</v>
      </c>
      <c r="AE192" s="768">
        <v>43145</v>
      </c>
      <c r="AF192" s="770">
        <v>35</v>
      </c>
      <c r="AG192" s="1144" t="s">
        <v>949</v>
      </c>
      <c r="AH192" s="544"/>
      <c r="AI192" s="543"/>
      <c r="AJ192" s="543"/>
      <c r="AK192" s="625"/>
    </row>
    <row r="193" spans="1:40" ht="45.75" customHeight="1" x14ac:dyDescent="0.2">
      <c r="A193" s="1427"/>
      <c r="B193" s="1427"/>
      <c r="C193" s="1427"/>
      <c r="D193" s="1427"/>
      <c r="E193" s="1427"/>
      <c r="F193" s="1366"/>
      <c r="G193" s="976">
        <v>131</v>
      </c>
      <c r="H193" s="977">
        <v>315</v>
      </c>
      <c r="I193" s="978" t="s">
        <v>764</v>
      </c>
      <c r="J193" s="952">
        <v>80111600</v>
      </c>
      <c r="K193" s="576" t="s">
        <v>745</v>
      </c>
      <c r="L193" s="950">
        <v>10101</v>
      </c>
      <c r="M193" s="950" t="s">
        <v>829</v>
      </c>
      <c r="N193" s="950" t="s">
        <v>777</v>
      </c>
      <c r="O193" s="950" t="s">
        <v>807</v>
      </c>
      <c r="P193" s="979" t="s">
        <v>579</v>
      </c>
      <c r="Q193" s="988" t="s">
        <v>358</v>
      </c>
      <c r="R193" s="988" t="s">
        <v>358</v>
      </c>
      <c r="S193" s="981">
        <v>7</v>
      </c>
      <c r="T193" s="941">
        <v>1</v>
      </c>
      <c r="U193" s="952" t="s">
        <v>611</v>
      </c>
      <c r="V193" s="717" t="str">
        <f>IF(U193=listas!$C$1,listas!$B$1,IF(U193=listas!$C$2,listas!$B$2,IF(U193=listas!$C$3,listas!$B$3,IF(U193=listas!$C$4,listas!$B$4,IF(U193=listas!$C$5,listas!$B$5,IF(U193=listas!$C$6,listas!$B$6,IF(U193=listas!$C$7,listas!$B$7,IF(U193=listas!$C$8,listas!$B$8,""))))))))</f>
        <v/>
      </c>
      <c r="W193" s="970">
        <v>28308000</v>
      </c>
      <c r="X193" s="971"/>
      <c r="Y193" s="971"/>
      <c r="Z193" s="972">
        <f t="shared" si="91"/>
        <v>28308000</v>
      </c>
      <c r="AA193" s="653">
        <v>28308000</v>
      </c>
      <c r="AB193" s="668"/>
      <c r="AC193" s="668"/>
      <c r="AD193" s="677">
        <f t="shared" si="92"/>
        <v>28308000</v>
      </c>
      <c r="AE193" s="768">
        <v>43305</v>
      </c>
      <c r="AF193" s="770">
        <v>80</v>
      </c>
      <c r="AG193" s="1144" t="s">
        <v>949</v>
      </c>
      <c r="AH193" s="544"/>
      <c r="AI193" s="543"/>
      <c r="AJ193" s="543"/>
      <c r="AK193" s="625"/>
    </row>
    <row r="194" spans="1:40" ht="65.25" customHeight="1" x14ac:dyDescent="0.2">
      <c r="A194" s="1427"/>
      <c r="B194" s="1427"/>
      <c r="C194" s="1427"/>
      <c r="D194" s="1427"/>
      <c r="E194" s="1427"/>
      <c r="F194" s="1366"/>
      <c r="G194" s="976">
        <v>132</v>
      </c>
      <c r="H194" s="977">
        <v>316</v>
      </c>
      <c r="I194" s="978" t="s">
        <v>765</v>
      </c>
      <c r="J194" s="952">
        <v>80111600</v>
      </c>
      <c r="K194" s="576" t="s">
        <v>745</v>
      </c>
      <c r="L194" s="950">
        <v>10101</v>
      </c>
      <c r="M194" s="950" t="s">
        <v>829</v>
      </c>
      <c r="N194" s="950" t="s">
        <v>777</v>
      </c>
      <c r="O194" s="950" t="s">
        <v>807</v>
      </c>
      <c r="P194" s="979" t="s">
        <v>579</v>
      </c>
      <c r="Q194" s="980" t="s">
        <v>548</v>
      </c>
      <c r="R194" s="980" t="s">
        <v>548</v>
      </c>
      <c r="S194" s="981">
        <v>180</v>
      </c>
      <c r="T194" s="941">
        <v>0</v>
      </c>
      <c r="U194" s="952" t="s">
        <v>611</v>
      </c>
      <c r="V194" s="717" t="str">
        <f>IF(U194=listas!$C$1,listas!$B$1,IF(U194=listas!$C$2,listas!$B$2,IF(U194=listas!$C$3,listas!$B$3,IF(U194=listas!$C$4,listas!$B$4,IF(U194=listas!$C$5,listas!$B$5,IF(U194=listas!$C$6,listas!$B$6,IF(U194=listas!$C$7,listas!$B$7,IF(U194=listas!$C$8,listas!$B$8,""))))))))</f>
        <v/>
      </c>
      <c r="W194" s="970">
        <v>21216000</v>
      </c>
      <c r="X194" s="971"/>
      <c r="Y194" s="971"/>
      <c r="Z194" s="972">
        <f t="shared" si="91"/>
        <v>21216000</v>
      </c>
      <c r="AA194" s="653">
        <v>21216000</v>
      </c>
      <c r="AB194" s="668"/>
      <c r="AC194" s="668"/>
      <c r="AD194" s="677">
        <f t="shared" si="92"/>
        <v>21216000</v>
      </c>
      <c r="AE194" s="768">
        <v>43125</v>
      </c>
      <c r="AF194" s="770">
        <v>55</v>
      </c>
      <c r="AG194" s="1144" t="s">
        <v>876</v>
      </c>
      <c r="AH194" s="544"/>
      <c r="AI194" s="543"/>
      <c r="AJ194" s="543"/>
      <c r="AK194" s="625"/>
    </row>
    <row r="195" spans="1:40" ht="32.25" customHeight="1" x14ac:dyDescent="0.2">
      <c r="A195" s="1427"/>
      <c r="B195" s="1427"/>
      <c r="C195" s="1427"/>
      <c r="D195" s="1427"/>
      <c r="E195" s="1427"/>
      <c r="F195" s="1366"/>
      <c r="G195" s="989">
        <v>150</v>
      </c>
      <c r="H195" s="990">
        <v>300</v>
      </c>
      <c r="I195" s="991" t="s">
        <v>714</v>
      </c>
      <c r="J195" s="950">
        <v>93141506</v>
      </c>
      <c r="K195" s="992" t="s">
        <v>745</v>
      </c>
      <c r="L195" s="950">
        <v>10101</v>
      </c>
      <c r="M195" s="950" t="s">
        <v>829</v>
      </c>
      <c r="N195" s="950" t="s">
        <v>782</v>
      </c>
      <c r="O195" s="950" t="s">
        <v>831</v>
      </c>
      <c r="P195" s="979" t="s">
        <v>579</v>
      </c>
      <c r="Q195" s="980" t="s">
        <v>97</v>
      </c>
      <c r="R195" s="980" t="s">
        <v>97</v>
      </c>
      <c r="S195" s="993">
        <v>3</v>
      </c>
      <c r="T195" s="940">
        <v>1</v>
      </c>
      <c r="U195" s="950" t="s">
        <v>597</v>
      </c>
      <c r="V195" s="848" t="str">
        <f>IF(U195=listas!$C$1,listas!$B$1,IF(U195=listas!$C$2,listas!$B$2,IF(U195=listas!$C$3,listas!$B$3,IF(U195=listas!$C$4,listas!$B$4,IF(U195=listas!$C$5,listas!$B$5,IF(U195=listas!$C$6,listas!$B$6,IF(U195=listas!$C$7,listas!$B$7,IF(U195=listas!$C$8,listas!$B$8,""))))))))</f>
        <v>CCE-10</v>
      </c>
      <c r="W195" s="973">
        <v>2380000</v>
      </c>
      <c r="X195" s="974"/>
      <c r="Y195" s="974"/>
      <c r="Z195" s="975">
        <f t="shared" si="91"/>
        <v>2380000</v>
      </c>
      <c r="AA195" s="853">
        <v>2380000</v>
      </c>
      <c r="AB195" s="812"/>
      <c r="AC195" s="812"/>
      <c r="AD195" s="849">
        <f t="shared" si="92"/>
        <v>2380000</v>
      </c>
      <c r="AE195" s="854" t="s">
        <v>973</v>
      </c>
      <c r="AF195" s="855">
        <v>72</v>
      </c>
      <c r="AG195" s="1134" t="s">
        <v>974</v>
      </c>
      <c r="AH195" s="850"/>
      <c r="AI195" s="851"/>
      <c r="AJ195" s="851"/>
      <c r="AK195" s="852"/>
    </row>
    <row r="196" spans="1:40" ht="78" customHeight="1" x14ac:dyDescent="0.2">
      <c r="A196" s="1427"/>
      <c r="B196" s="1427"/>
      <c r="C196" s="1427"/>
      <c r="D196" s="1427"/>
      <c r="E196" s="1427"/>
      <c r="F196" s="1366"/>
      <c r="G196" s="989">
        <v>132</v>
      </c>
      <c r="H196" s="977"/>
      <c r="I196" s="978" t="s">
        <v>998</v>
      </c>
      <c r="J196" s="952">
        <v>80111600</v>
      </c>
      <c r="K196" s="576" t="s">
        <v>745</v>
      </c>
      <c r="L196" s="950">
        <v>10101</v>
      </c>
      <c r="M196" s="950" t="s">
        <v>829</v>
      </c>
      <c r="N196" s="950" t="s">
        <v>777</v>
      </c>
      <c r="O196" s="950" t="s">
        <v>807</v>
      </c>
      <c r="P196" s="979" t="s">
        <v>579</v>
      </c>
      <c r="Q196" s="980" t="s">
        <v>358</v>
      </c>
      <c r="R196" s="980" t="s">
        <v>358</v>
      </c>
      <c r="S196" s="981">
        <v>180</v>
      </c>
      <c r="T196" s="941">
        <v>0</v>
      </c>
      <c r="U196" s="952" t="s">
        <v>611</v>
      </c>
      <c r="V196" s="717" t="str">
        <f>IF(U196=listas!$C$1,listas!$B$1,IF(U196=listas!$C$2,listas!$B$2,IF(U196=listas!$C$3,listas!$B$3,IF(U196=listas!$C$4,listas!$B$4,IF(U196=listas!$C$5,listas!$B$5,IF(U196=listas!$C$6,listas!$B$6,IF(U196=listas!$C$7,listas!$B$7,IF(U196=listas!$C$8,listas!$B$8,""))))))))</f>
        <v/>
      </c>
      <c r="W196" s="973">
        <f>1320000+9288000-10608000</f>
        <v>0</v>
      </c>
      <c r="X196" s="974"/>
      <c r="Y196" s="974"/>
      <c r="Z196" s="975">
        <f>+W196+X196+Y196</f>
        <v>0</v>
      </c>
      <c r="AA196" s="853"/>
      <c r="AB196" s="812"/>
      <c r="AC196" s="812"/>
      <c r="AD196" s="849"/>
      <c r="AE196" s="854"/>
      <c r="AF196" s="770"/>
      <c r="AG196" s="1144"/>
      <c r="AH196" s="850"/>
      <c r="AI196" s="851"/>
      <c r="AJ196" s="851"/>
      <c r="AK196" s="852"/>
    </row>
    <row r="197" spans="1:40" ht="48" customHeight="1" x14ac:dyDescent="0.2">
      <c r="A197" s="1427"/>
      <c r="B197" s="1427"/>
      <c r="C197" s="1427"/>
      <c r="D197" s="1427"/>
      <c r="E197" s="1427"/>
      <c r="F197" s="1366"/>
      <c r="G197" s="1019"/>
      <c r="H197" s="977"/>
      <c r="I197" s="978" t="s">
        <v>1109</v>
      </c>
      <c r="J197" s="1021">
        <v>80111600</v>
      </c>
      <c r="K197" s="576" t="s">
        <v>745</v>
      </c>
      <c r="L197" s="1020">
        <v>10101</v>
      </c>
      <c r="M197" s="1020" t="s">
        <v>829</v>
      </c>
      <c r="N197" s="1020" t="s">
        <v>777</v>
      </c>
      <c r="O197" s="1020" t="s">
        <v>807</v>
      </c>
      <c r="P197" s="979" t="s">
        <v>579</v>
      </c>
      <c r="Q197" s="980" t="s">
        <v>551</v>
      </c>
      <c r="R197" s="980" t="s">
        <v>551</v>
      </c>
      <c r="S197" s="981">
        <v>80</v>
      </c>
      <c r="T197" s="941">
        <v>0</v>
      </c>
      <c r="U197" s="1021" t="s">
        <v>611</v>
      </c>
      <c r="V197" s="717" t="str">
        <f>IF(U197=listas!$C$1,listas!$B$1,IF(U197=listas!$C$2,listas!$B$2,IF(U197=listas!$C$3,listas!$B$3,IF(U197=listas!$C$4,listas!$B$4,IF(U197=listas!$C$5,listas!$B$5,IF(U197=listas!$C$6,listas!$B$6,IF(U197=listas!$C$7,listas!$B$7,IF(U197=listas!$C$8,listas!$B$8,""))))))))</f>
        <v/>
      </c>
      <c r="W197" s="973">
        <f>6249936-6249936</f>
        <v>0</v>
      </c>
      <c r="X197" s="974"/>
      <c r="Y197" s="974"/>
      <c r="Z197" s="975">
        <f>+W197+X197+Y197</f>
        <v>0</v>
      </c>
      <c r="AA197" s="853"/>
      <c r="AB197" s="812"/>
      <c r="AC197" s="812"/>
      <c r="AD197" s="849"/>
      <c r="AE197" s="854"/>
      <c r="AF197" s="770"/>
      <c r="AG197" s="1144"/>
      <c r="AH197" s="850"/>
      <c r="AI197" s="851"/>
      <c r="AJ197" s="851"/>
      <c r="AK197" s="852"/>
    </row>
    <row r="198" spans="1:40" ht="34.5" customHeight="1" x14ac:dyDescent="0.2">
      <c r="A198" s="1427"/>
      <c r="B198" s="1427"/>
      <c r="C198" s="1427"/>
      <c r="D198" s="1427"/>
      <c r="E198" s="1427"/>
      <c r="F198" s="1366"/>
      <c r="G198" s="976"/>
      <c r="H198" s="1054"/>
      <c r="I198" s="576" t="s">
        <v>1110</v>
      </c>
      <c r="J198" s="1021">
        <v>43201803</v>
      </c>
      <c r="K198" s="576" t="s">
        <v>743</v>
      </c>
      <c r="L198" s="1020">
        <v>20102</v>
      </c>
      <c r="M198" s="1020" t="s">
        <v>1111</v>
      </c>
      <c r="N198" s="1020" t="s">
        <v>1112</v>
      </c>
      <c r="O198" s="1020" t="s">
        <v>1113</v>
      </c>
      <c r="P198" s="1032" t="s">
        <v>556</v>
      </c>
      <c r="Q198" s="980" t="s">
        <v>551</v>
      </c>
      <c r="R198" s="980" t="s">
        <v>552</v>
      </c>
      <c r="S198" s="981">
        <v>2</v>
      </c>
      <c r="T198" s="941">
        <v>1</v>
      </c>
      <c r="U198" s="1020" t="s">
        <v>597</v>
      </c>
      <c r="V198" s="848" t="str">
        <f>IF(U198=listas!$C$1,listas!$B$1,IF(U198=listas!$C$2,listas!$B$2,IF(U198=listas!$C$3,listas!$B$3,IF(U198=listas!$C$4,listas!$B$4,IF(U198=listas!$C$5,listas!$B$5,IF(U198=listas!$C$6,listas!$B$6,IF(U198=listas!$C$7,listas!$B$7,IF(U198=listas!$C$8,listas!$B$8,""))))))))</f>
        <v>CCE-10</v>
      </c>
      <c r="W198" s="970">
        <f>4358064-4358064</f>
        <v>0</v>
      </c>
      <c r="X198" s="974"/>
      <c r="Y198" s="974"/>
      <c r="Z198" s="975">
        <f>+W198+X198+Y198</f>
        <v>0</v>
      </c>
      <c r="AA198" s="853"/>
      <c r="AB198" s="812"/>
      <c r="AC198" s="812"/>
      <c r="AD198" s="849"/>
      <c r="AE198" s="854"/>
      <c r="AF198" s="770"/>
      <c r="AG198" s="1144"/>
      <c r="AH198" s="850"/>
      <c r="AI198" s="851"/>
      <c r="AJ198" s="851"/>
      <c r="AK198" s="852"/>
    </row>
    <row r="199" spans="1:40" ht="76.5" x14ac:dyDescent="0.2">
      <c r="A199" s="1427"/>
      <c r="B199" s="1427"/>
      <c r="C199" s="1427"/>
      <c r="D199" s="1427"/>
      <c r="E199" s="1427"/>
      <c r="F199" s="1367"/>
      <c r="G199" s="976"/>
      <c r="H199" s="1055"/>
      <c r="I199" s="978" t="s">
        <v>972</v>
      </c>
      <c r="J199" s="952"/>
      <c r="K199" s="576" t="s">
        <v>743</v>
      </c>
      <c r="L199" s="952"/>
      <c r="M199" s="952"/>
      <c r="N199" s="952"/>
      <c r="O199" s="1052" t="s">
        <v>1113</v>
      </c>
      <c r="P199" s="994"/>
      <c r="Q199" s="988"/>
      <c r="R199" s="988"/>
      <c r="S199" s="981"/>
      <c r="T199" s="941"/>
      <c r="U199" s="952"/>
      <c r="V199" s="717"/>
      <c r="W199" s="982">
        <f>3700000-2380000-1320000</f>
        <v>0</v>
      </c>
      <c r="X199" s="689"/>
      <c r="Y199" s="689"/>
      <c r="Z199" s="983">
        <f t="shared" si="91"/>
        <v>0</v>
      </c>
      <c r="AA199" s="653"/>
      <c r="AB199" s="668"/>
      <c r="AC199" s="668"/>
      <c r="AD199" s="677"/>
      <c r="AE199" s="859"/>
      <c r="AF199" s="770"/>
      <c r="AG199" s="543"/>
      <c r="AH199" s="544"/>
      <c r="AI199" s="543"/>
      <c r="AJ199" s="543"/>
      <c r="AK199" s="625"/>
    </row>
    <row r="200" spans="1:40" ht="49.5" customHeight="1" x14ac:dyDescent="0.2">
      <c r="A200" s="1427"/>
      <c r="B200" s="1427"/>
      <c r="C200" s="1427"/>
      <c r="D200" s="1427"/>
      <c r="E200" s="1427"/>
      <c r="F200" s="1050"/>
      <c r="G200" s="976"/>
      <c r="H200" s="1053"/>
      <c r="I200" s="978" t="s">
        <v>1180</v>
      </c>
      <c r="J200" s="1051">
        <v>43201803</v>
      </c>
      <c r="K200" s="576" t="s">
        <v>743</v>
      </c>
      <c r="L200" s="1051">
        <v>20102</v>
      </c>
      <c r="M200" s="1051" t="s">
        <v>1111</v>
      </c>
      <c r="N200" s="1051" t="s">
        <v>1112</v>
      </c>
      <c r="O200" s="1051" t="s">
        <v>1113</v>
      </c>
      <c r="P200" s="1051" t="s">
        <v>597</v>
      </c>
      <c r="Q200" s="717" t="s">
        <v>552</v>
      </c>
      <c r="R200" s="988" t="s">
        <v>552</v>
      </c>
      <c r="S200" s="981"/>
      <c r="T200" s="941"/>
      <c r="U200" s="1051" t="s">
        <v>597</v>
      </c>
      <c r="V200" s="717" t="str">
        <f>IF(U200=listas!$C$1,listas!$B$1,IF(U200=listas!$C$2,listas!$B$2,IF(U200=listas!$C$3,listas!$B$3,IF(U200=listas!$C$4,listas!$B$4,IF(U200=listas!$C$5,listas!$B$5,IF(U200=listas!$C$6,listas!$B$6,IF(U200=listas!$C$7,listas!$B$7,IF(U200=listas!$C$8,listas!$B$8,""))))))))</f>
        <v>CCE-10</v>
      </c>
      <c r="W200" s="982">
        <v>10608000</v>
      </c>
      <c r="X200" s="689"/>
      <c r="Y200" s="689"/>
      <c r="Z200" s="983">
        <f>+W200+X200+Y200</f>
        <v>10608000</v>
      </c>
      <c r="AA200" s="653">
        <v>10608000</v>
      </c>
      <c r="AB200" s="668"/>
      <c r="AC200" s="668"/>
      <c r="AD200" s="677">
        <f>+AA200+AB200+AC200</f>
        <v>10608000</v>
      </c>
      <c r="AE200" s="769">
        <v>43447</v>
      </c>
      <c r="AF200" s="770">
        <v>81</v>
      </c>
      <c r="AG200" s="1141" t="s">
        <v>1061</v>
      </c>
      <c r="AH200" s="544"/>
      <c r="AI200" s="543"/>
      <c r="AJ200" s="543"/>
      <c r="AK200" s="625"/>
    </row>
    <row r="201" spans="1:40" ht="12.75" x14ac:dyDescent="0.2">
      <c r="A201" s="1427"/>
      <c r="B201" s="1427"/>
      <c r="C201" s="1427"/>
      <c r="D201" s="1427"/>
      <c r="E201" s="1427"/>
      <c r="F201" s="1347" t="s">
        <v>500</v>
      </c>
      <c r="G201" s="1428"/>
      <c r="H201" s="1428"/>
      <c r="I201" s="1428"/>
      <c r="J201" s="1428"/>
      <c r="K201" s="1428"/>
      <c r="L201" s="1428"/>
      <c r="M201" s="1428"/>
      <c r="N201" s="1428"/>
      <c r="O201" s="1428"/>
      <c r="P201" s="1428"/>
      <c r="Q201" s="1428"/>
      <c r="R201" s="1428"/>
      <c r="S201" s="1428"/>
      <c r="T201" s="1428"/>
      <c r="U201" s="1429"/>
      <c r="V201" s="995"/>
      <c r="W201" s="996">
        <f>SUM(W191:W200)</f>
        <v>121176000</v>
      </c>
      <c r="X201" s="996">
        <f>SUM(X191:X195)</f>
        <v>0</v>
      </c>
      <c r="Y201" s="996">
        <f>SUM(Y191:Y195)</f>
        <v>0</v>
      </c>
      <c r="Z201" s="996">
        <f t="shared" si="91"/>
        <v>121176000</v>
      </c>
      <c r="AA201" s="856">
        <f>SUM(AA191:AA200)</f>
        <v>121176000</v>
      </c>
      <c r="AB201" s="856">
        <f>SUM(AB191:AB195)</f>
        <v>0</v>
      </c>
      <c r="AC201" s="856">
        <f>SUM(AC191:AC195)</f>
        <v>0</v>
      </c>
      <c r="AD201" s="856">
        <f t="shared" ref="AD201:AD203" si="93">+AA201+AB201+AC201</f>
        <v>121176000</v>
      </c>
      <c r="AE201" s="856"/>
      <c r="AF201" s="857"/>
      <c r="AG201" s="858"/>
      <c r="AH201" s="856">
        <v>97176000</v>
      </c>
      <c r="AI201" s="856">
        <f>SUM(AI191:AI195)</f>
        <v>0</v>
      </c>
      <c r="AJ201" s="856">
        <f>SUM(AJ191:AJ195)</f>
        <v>0</v>
      </c>
      <c r="AK201" s="856">
        <f t="shared" ref="AK201:AK203" si="94">+AH201+AI201+AJ201</f>
        <v>97176000</v>
      </c>
      <c r="AL201" s="749"/>
    </row>
    <row r="202" spans="1:40" ht="12.75" x14ac:dyDescent="0.2">
      <c r="A202" s="1427"/>
      <c r="B202" s="1427"/>
      <c r="C202" s="1427"/>
      <c r="D202" s="1427"/>
      <c r="E202" s="1427"/>
      <c r="F202" s="1430" t="s">
        <v>532</v>
      </c>
      <c r="G202" s="1431"/>
      <c r="H202" s="1431"/>
      <c r="I202" s="1431"/>
      <c r="J202" s="1431"/>
      <c r="K202" s="1431"/>
      <c r="L202" s="1431"/>
      <c r="M202" s="1431"/>
      <c r="N202" s="1431"/>
      <c r="O202" s="1431"/>
      <c r="P202" s="1431"/>
      <c r="Q202" s="1431"/>
      <c r="R202" s="1431"/>
      <c r="S202" s="1431"/>
      <c r="T202" s="1431"/>
      <c r="U202" s="1432"/>
      <c r="V202" s="997"/>
      <c r="W202" s="998">
        <f>+W190+W201</f>
        <v>619000000</v>
      </c>
      <c r="X202" s="998">
        <f>+X190+X201</f>
        <v>0</v>
      </c>
      <c r="Y202" s="998">
        <f>+Y190+Y201</f>
        <v>60406000</v>
      </c>
      <c r="Z202" s="998">
        <f t="shared" si="91"/>
        <v>679406000</v>
      </c>
      <c r="AA202" s="670">
        <f>+AA190+AA201</f>
        <v>619000000</v>
      </c>
      <c r="AB202" s="670">
        <f>+AB190+AB201</f>
        <v>0</v>
      </c>
      <c r="AC202" s="670">
        <f>+AC190+AC201</f>
        <v>60406000</v>
      </c>
      <c r="AD202" s="670">
        <f t="shared" si="93"/>
        <v>679406000</v>
      </c>
      <c r="AE202" s="670"/>
      <c r="AF202" s="642"/>
      <c r="AG202" s="793"/>
      <c r="AH202" s="670">
        <f>+AH190+AH201</f>
        <v>585550982</v>
      </c>
      <c r="AI202" s="670">
        <f>+AI190+AI201</f>
        <v>60406000</v>
      </c>
      <c r="AJ202" s="670">
        <f>+AJ190+AJ201</f>
        <v>0</v>
      </c>
      <c r="AK202" s="670">
        <f t="shared" si="94"/>
        <v>645956982</v>
      </c>
      <c r="AL202" s="749"/>
      <c r="AM202" s="749"/>
    </row>
    <row r="203" spans="1:40" ht="12.75" x14ac:dyDescent="0.2">
      <c r="A203" s="1427"/>
      <c r="B203" s="1427"/>
      <c r="C203" s="1433" t="s">
        <v>542</v>
      </c>
      <c r="D203" s="1434"/>
      <c r="E203" s="1434"/>
      <c r="F203" s="1434"/>
      <c r="G203" s="1434"/>
      <c r="H203" s="1434"/>
      <c r="I203" s="1434"/>
      <c r="J203" s="1434"/>
      <c r="K203" s="1434"/>
      <c r="L203" s="1434"/>
      <c r="M203" s="1434"/>
      <c r="N203" s="1434"/>
      <c r="O203" s="1434"/>
      <c r="P203" s="1434"/>
      <c r="Q203" s="1434"/>
      <c r="R203" s="1434"/>
      <c r="S203" s="1434"/>
      <c r="T203" s="1434"/>
      <c r="U203" s="1435"/>
      <c r="V203" s="999"/>
      <c r="W203" s="1000">
        <f>+W202</f>
        <v>619000000</v>
      </c>
      <c r="X203" s="1000">
        <f>+X202</f>
        <v>0</v>
      </c>
      <c r="Y203" s="1000">
        <f>+Y202</f>
        <v>60406000</v>
      </c>
      <c r="Z203" s="1000">
        <f t="shared" si="91"/>
        <v>679406000</v>
      </c>
      <c r="AA203" s="664">
        <f>+AA202</f>
        <v>619000000</v>
      </c>
      <c r="AB203" s="664">
        <f>+AB202</f>
        <v>0</v>
      </c>
      <c r="AC203" s="664">
        <f>+AC202</f>
        <v>60406000</v>
      </c>
      <c r="AD203" s="664">
        <f t="shared" si="93"/>
        <v>679406000</v>
      </c>
      <c r="AE203" s="664"/>
      <c r="AF203" s="637"/>
      <c r="AG203" s="794"/>
      <c r="AH203" s="664">
        <f>+AH202</f>
        <v>585550982</v>
      </c>
      <c r="AI203" s="664">
        <f>+AI202</f>
        <v>60406000</v>
      </c>
      <c r="AJ203" s="664">
        <f>+AJ202</f>
        <v>0</v>
      </c>
      <c r="AK203" s="664">
        <f t="shared" si="94"/>
        <v>645956982</v>
      </c>
      <c r="AL203" s="749"/>
      <c r="AN203" s="749"/>
    </row>
    <row r="204" spans="1:40" ht="20.25" customHeight="1" x14ac:dyDescent="0.2">
      <c r="A204" s="1346" t="s">
        <v>543</v>
      </c>
      <c r="B204" s="1346"/>
      <c r="C204" s="1346"/>
      <c r="D204" s="1346"/>
      <c r="E204" s="1346"/>
      <c r="F204" s="1346"/>
      <c r="G204" s="1346"/>
      <c r="H204" s="1346"/>
      <c r="I204" s="1346"/>
      <c r="J204" s="1346"/>
      <c r="K204" s="1346"/>
      <c r="L204" s="1346"/>
      <c r="M204" s="1346"/>
      <c r="N204" s="1346"/>
      <c r="O204" s="1346"/>
      <c r="P204" s="1346"/>
      <c r="Q204" s="1346"/>
      <c r="R204" s="1346"/>
      <c r="S204" s="1346"/>
      <c r="T204" s="1346"/>
      <c r="U204" s="1346"/>
      <c r="V204" s="1001"/>
      <c r="W204" s="1002">
        <f>+W165+W203</f>
        <v>3619959000</v>
      </c>
      <c r="X204" s="1002">
        <f t="shared" ref="X204:AD204" si="95">+X165+X203</f>
        <v>3231327484.0079999</v>
      </c>
      <c r="Y204" s="1002">
        <f t="shared" si="95"/>
        <v>60406000</v>
      </c>
      <c r="Z204" s="1002">
        <f t="shared" si="95"/>
        <v>6911692484.0079994</v>
      </c>
      <c r="AA204" s="1002">
        <f t="shared" si="95"/>
        <v>3619730272</v>
      </c>
      <c r="AB204" s="1002">
        <f t="shared" si="95"/>
        <v>3215327484.0079999</v>
      </c>
      <c r="AC204" s="1002">
        <f t="shared" si="95"/>
        <v>60406000</v>
      </c>
      <c r="AD204" s="1002">
        <f t="shared" si="95"/>
        <v>6895463756.0079994</v>
      </c>
      <c r="AE204" s="671"/>
      <c r="AF204" s="643"/>
      <c r="AG204" s="795"/>
      <c r="AH204" s="671">
        <f>+AH82+AH164+AH203</f>
        <v>3517392793</v>
      </c>
      <c r="AI204" s="671">
        <f>+AI82+AI164+AI203</f>
        <v>3275733484</v>
      </c>
      <c r="AJ204" s="671">
        <f>+AJ82+AJ164+AJ203</f>
        <v>0</v>
      </c>
      <c r="AK204" s="671">
        <f>+AK82+AK164+AK203</f>
        <v>6793126277</v>
      </c>
      <c r="AL204" s="749"/>
    </row>
    <row r="205" spans="1:40" ht="24.75" hidden="1" customHeight="1" x14ac:dyDescent="0.25">
      <c r="A205" s="627"/>
      <c r="B205" s="627"/>
      <c r="C205" s="627"/>
      <c r="D205" s="627"/>
      <c r="E205" s="627"/>
      <c r="F205" s="540"/>
      <c r="G205" s="540"/>
      <c r="H205" s="540"/>
      <c r="I205" s="722"/>
      <c r="J205" s="721"/>
      <c r="K205" s="633"/>
      <c r="L205" s="633"/>
      <c r="M205" s="633"/>
      <c r="N205" s="632"/>
      <c r="O205" s="632"/>
      <c r="P205" s="632"/>
      <c r="Q205" s="632"/>
      <c r="R205" s="632"/>
      <c r="S205" s="628"/>
      <c r="T205" s="628"/>
      <c r="U205" s="628"/>
      <c r="V205" s="628"/>
      <c r="W205" s="673"/>
      <c r="X205" s="673"/>
      <c r="Y205" s="673"/>
      <c r="Z205" s="673"/>
      <c r="AA205" s="749"/>
      <c r="AC205" s="1095"/>
      <c r="AD205" s="749"/>
      <c r="AE205" s="1048"/>
      <c r="AF205" s="1049"/>
      <c r="AG205" s="1049"/>
      <c r="AH205" s="749"/>
      <c r="AJ205" s="1049"/>
      <c r="AK205" s="1133"/>
      <c r="AL205" s="1145"/>
      <c r="AM205" s="749"/>
    </row>
    <row r="206" spans="1:40" ht="28.5" hidden="1" customHeight="1" x14ac:dyDescent="0.25">
      <c r="A206" s="1314" t="s">
        <v>1094</v>
      </c>
      <c r="B206" s="1314"/>
      <c r="C206" s="1314"/>
      <c r="D206" s="1314"/>
      <c r="E206" s="1314"/>
      <c r="F206" s="1314"/>
      <c r="G206" s="540"/>
      <c r="H206" s="540"/>
      <c r="I206" s="1160" t="s">
        <v>1213</v>
      </c>
      <c r="J206" s="1164" t="s">
        <v>1214</v>
      </c>
      <c r="K206" s="1164"/>
      <c r="L206" s="1164"/>
      <c r="M206" s="1164"/>
      <c r="N206" s="1164"/>
      <c r="O206" s="1159"/>
      <c r="R206" s="1008"/>
      <c r="S206" s="1162" t="s">
        <v>1095</v>
      </c>
      <c r="T206" s="1162"/>
      <c r="U206" s="1162"/>
      <c r="V206" s="1009"/>
      <c r="W206" s="1162"/>
      <c r="X206" s="1317" t="s">
        <v>1215</v>
      </c>
      <c r="Y206" s="1317"/>
      <c r="Z206" s="1317"/>
      <c r="AA206" s="749"/>
      <c r="AC206" s="1049"/>
      <c r="AD206" s="749"/>
      <c r="AE206" s="1049"/>
      <c r="AF206" s="1049"/>
      <c r="AG206" s="1049"/>
      <c r="AH206" s="1048"/>
      <c r="AI206" s="1048"/>
      <c r="AJ206" s="1049"/>
      <c r="AK206" s="749"/>
    </row>
    <row r="207" spans="1:40" ht="28.5" hidden="1" customHeight="1" x14ac:dyDescent="0.2">
      <c r="A207" s="1315" t="s">
        <v>13</v>
      </c>
      <c r="B207" s="1315"/>
      <c r="C207" s="1315"/>
      <c r="D207" s="1315"/>
      <c r="E207" s="1315"/>
      <c r="F207" s="1315"/>
      <c r="G207" s="540"/>
      <c r="H207" s="540"/>
      <c r="I207" s="1161" t="s">
        <v>683</v>
      </c>
      <c r="J207" s="1316" t="s">
        <v>606</v>
      </c>
      <c r="K207" s="1316"/>
      <c r="L207" s="1316"/>
      <c r="M207" s="1316"/>
      <c r="N207" s="1316"/>
      <c r="O207" s="1316"/>
      <c r="P207" s="1316"/>
      <c r="Q207" s="1316"/>
      <c r="R207" s="1008"/>
      <c r="S207" s="1163" t="s">
        <v>1096</v>
      </c>
      <c r="T207" s="1163"/>
      <c r="U207" s="1163"/>
      <c r="V207" s="1009"/>
      <c r="W207" s="1163"/>
      <c r="X207" s="1316" t="s">
        <v>1216</v>
      </c>
      <c r="Y207" s="1316"/>
      <c r="Z207" s="1316"/>
      <c r="AA207" s="749"/>
      <c r="AK207" s="749"/>
    </row>
    <row r="208" spans="1:40" ht="62.25" customHeight="1" x14ac:dyDescent="0.2">
      <c r="A208" s="627"/>
      <c r="B208" s="627"/>
      <c r="C208" s="627"/>
      <c r="D208" s="627"/>
      <c r="E208" s="627"/>
      <c r="F208" s="540"/>
      <c r="G208" s="540"/>
      <c r="H208" s="540"/>
      <c r="I208" s="722"/>
      <c r="J208" s="721"/>
      <c r="K208" s="633"/>
      <c r="L208" s="633"/>
      <c r="M208" s="633"/>
      <c r="N208" s="632"/>
      <c r="O208" s="632"/>
      <c r="P208" s="632"/>
      <c r="Q208" s="632"/>
      <c r="R208" s="632"/>
      <c r="S208" s="628"/>
      <c r="T208" s="628"/>
      <c r="U208" s="628"/>
      <c r="V208" s="628"/>
      <c r="W208" s="673"/>
      <c r="X208" s="673"/>
      <c r="Y208" s="673"/>
      <c r="Z208" s="673"/>
      <c r="AA208" s="749"/>
    </row>
    <row r="209" spans="1:26" ht="62.25" customHeight="1" x14ac:dyDescent="0.2">
      <c r="A209" s="627"/>
      <c r="B209" s="627"/>
      <c r="C209" s="627"/>
      <c r="D209" s="627"/>
      <c r="E209" s="627"/>
      <c r="F209" s="540"/>
      <c r="G209" s="540"/>
      <c r="H209" s="540"/>
      <c r="I209" s="722"/>
      <c r="J209" s="721"/>
      <c r="K209" s="633"/>
      <c r="L209" s="633"/>
      <c r="M209" s="633"/>
      <c r="N209" s="632"/>
      <c r="O209" s="632"/>
      <c r="P209" s="632"/>
      <c r="Q209" s="632"/>
      <c r="R209" s="632"/>
      <c r="S209" s="628"/>
      <c r="T209" s="628"/>
      <c r="U209" s="628"/>
      <c r="V209" s="628"/>
      <c r="W209" s="673"/>
      <c r="X209" s="673"/>
      <c r="Y209" s="673"/>
      <c r="Z209" s="673"/>
    </row>
    <row r="210" spans="1:26" ht="62.25" customHeight="1" x14ac:dyDescent="0.2">
      <c r="A210" s="627"/>
      <c r="B210" s="627"/>
      <c r="C210" s="627"/>
      <c r="D210" s="627"/>
      <c r="E210" s="627"/>
      <c r="F210" s="540"/>
      <c r="G210" s="540"/>
      <c r="H210" s="540"/>
      <c r="I210" s="722"/>
      <c r="J210" s="721"/>
      <c r="K210" s="633"/>
      <c r="L210" s="633"/>
      <c r="M210" s="633"/>
      <c r="N210" s="632"/>
      <c r="O210" s="632"/>
      <c r="P210" s="632"/>
      <c r="Q210" s="632"/>
      <c r="R210" s="632"/>
      <c r="S210" s="628"/>
      <c r="T210" s="628"/>
      <c r="U210" s="628"/>
      <c r="V210" s="628"/>
      <c r="W210" s="673"/>
      <c r="X210" s="673"/>
      <c r="Y210" s="673"/>
      <c r="Z210" s="673"/>
    </row>
    <row r="211" spans="1:26" ht="62.25" customHeight="1" x14ac:dyDescent="0.2">
      <c r="A211" s="627"/>
      <c r="B211" s="627"/>
      <c r="C211" s="627"/>
      <c r="D211" s="627"/>
      <c r="E211" s="627"/>
      <c r="F211" s="540"/>
      <c r="G211" s="540"/>
      <c r="H211" s="540"/>
      <c r="I211" s="722"/>
      <c r="J211" s="721"/>
      <c r="K211" s="633"/>
      <c r="L211" s="633"/>
      <c r="M211" s="633"/>
      <c r="N211" s="632"/>
      <c r="O211" s="632"/>
      <c r="P211" s="632"/>
      <c r="Q211" s="632"/>
      <c r="R211" s="632"/>
      <c r="S211" s="628"/>
      <c r="T211" s="628"/>
      <c r="U211" s="628"/>
      <c r="V211" s="628"/>
      <c r="W211" s="673"/>
      <c r="X211" s="673"/>
      <c r="Y211" s="673"/>
      <c r="Z211" s="673"/>
    </row>
    <row r="212" spans="1:26" ht="62.25" customHeight="1" x14ac:dyDescent="0.2">
      <c r="A212" s="627"/>
      <c r="B212" s="627"/>
      <c r="C212" s="627"/>
      <c r="D212" s="627"/>
      <c r="E212" s="627"/>
      <c r="F212" s="540"/>
      <c r="G212" s="540"/>
      <c r="H212" s="540"/>
      <c r="I212" s="722"/>
      <c r="J212" s="721"/>
      <c r="K212" s="633"/>
      <c r="L212" s="633"/>
      <c r="M212" s="633"/>
      <c r="N212" s="632"/>
      <c r="O212" s="632"/>
      <c r="P212" s="632"/>
      <c r="Q212" s="632"/>
      <c r="R212" s="632"/>
      <c r="S212" s="628"/>
      <c r="T212" s="628"/>
      <c r="U212" s="628"/>
      <c r="V212" s="628"/>
      <c r="W212" s="673"/>
      <c r="X212" s="673"/>
      <c r="Y212" s="673"/>
      <c r="Z212" s="673"/>
    </row>
    <row r="213" spans="1:26" ht="62.25" customHeight="1" x14ac:dyDescent="0.2">
      <c r="A213" s="627"/>
      <c r="B213" s="627"/>
      <c r="C213" s="627"/>
      <c r="D213" s="627"/>
      <c r="E213" s="627"/>
      <c r="F213" s="540"/>
      <c r="G213" s="540"/>
      <c r="H213" s="540"/>
      <c r="I213" s="722"/>
      <c r="J213" s="721"/>
      <c r="K213" s="633"/>
      <c r="L213" s="633"/>
      <c r="M213" s="633"/>
      <c r="N213" s="632"/>
      <c r="O213" s="632"/>
      <c r="P213" s="632"/>
      <c r="Q213" s="632"/>
      <c r="R213" s="632"/>
      <c r="S213" s="628"/>
      <c r="T213" s="628"/>
      <c r="U213" s="628"/>
      <c r="V213" s="628"/>
      <c r="W213" s="673"/>
      <c r="X213" s="673"/>
      <c r="Y213" s="673"/>
      <c r="Z213" s="673"/>
    </row>
    <row r="214" spans="1:26" ht="62.25" customHeight="1" x14ac:dyDescent="0.2">
      <c r="A214" s="627"/>
      <c r="B214" s="627"/>
      <c r="C214" s="627"/>
      <c r="D214" s="627"/>
      <c r="E214" s="627"/>
      <c r="F214" s="540"/>
      <c r="G214" s="540"/>
      <c r="H214" s="540"/>
      <c r="I214" s="722"/>
      <c r="J214" s="721"/>
      <c r="K214" s="633"/>
      <c r="L214" s="633"/>
      <c r="M214" s="633"/>
      <c r="N214" s="632"/>
      <c r="O214" s="632"/>
      <c r="P214" s="632"/>
      <c r="Q214" s="632"/>
      <c r="R214" s="632"/>
      <c r="S214" s="628"/>
      <c r="T214" s="628"/>
      <c r="U214" s="628"/>
      <c r="V214" s="628"/>
      <c r="W214" s="673"/>
      <c r="X214" s="673"/>
      <c r="Y214" s="673"/>
      <c r="Z214" s="673"/>
    </row>
    <row r="215" spans="1:26" ht="62.25" customHeight="1" x14ac:dyDescent="0.2">
      <c r="A215" s="627"/>
      <c r="B215" s="627"/>
      <c r="C215" s="627"/>
      <c r="D215" s="627"/>
      <c r="E215" s="627"/>
      <c r="F215" s="540"/>
      <c r="G215" s="540"/>
      <c r="H215" s="540"/>
      <c r="I215" s="722"/>
      <c r="J215" s="721"/>
      <c r="K215" s="633"/>
      <c r="L215" s="633"/>
      <c r="M215" s="633"/>
      <c r="N215" s="632"/>
      <c r="O215" s="632"/>
      <c r="P215" s="632"/>
      <c r="Q215" s="632"/>
      <c r="R215" s="632"/>
      <c r="S215" s="628"/>
      <c r="T215" s="628"/>
      <c r="U215" s="628"/>
      <c r="V215" s="628"/>
      <c r="W215" s="673"/>
      <c r="X215" s="673"/>
      <c r="Y215" s="673"/>
      <c r="Z215" s="673"/>
    </row>
    <row r="216" spans="1:26" ht="62.25" customHeight="1" x14ac:dyDescent="0.2">
      <c r="A216" s="627"/>
      <c r="B216" s="627"/>
      <c r="C216" s="627"/>
      <c r="D216" s="627"/>
      <c r="E216" s="627"/>
      <c r="F216" s="540"/>
      <c r="G216" s="540"/>
      <c r="H216" s="540"/>
      <c r="I216" s="722"/>
      <c r="J216" s="721"/>
      <c r="K216" s="633"/>
      <c r="L216" s="633"/>
      <c r="M216" s="633"/>
      <c r="N216" s="632"/>
      <c r="O216" s="632"/>
      <c r="P216" s="632"/>
      <c r="Q216" s="632"/>
      <c r="R216" s="632"/>
      <c r="S216" s="628"/>
      <c r="T216" s="628"/>
      <c r="U216" s="628"/>
      <c r="V216" s="628"/>
      <c r="W216" s="673"/>
      <c r="X216" s="673"/>
      <c r="Y216" s="673"/>
      <c r="Z216" s="673"/>
    </row>
    <row r="217" spans="1:26" ht="62.25" customHeight="1" x14ac:dyDescent="0.2">
      <c r="A217" s="627"/>
      <c r="B217" s="627"/>
      <c r="C217" s="627"/>
      <c r="D217" s="627"/>
      <c r="E217" s="627"/>
      <c r="F217" s="540"/>
      <c r="G217" s="540"/>
      <c r="H217" s="540"/>
      <c r="I217" s="722"/>
      <c r="J217" s="721"/>
      <c r="K217" s="633"/>
      <c r="L217" s="633"/>
      <c r="M217" s="633"/>
      <c r="N217" s="632"/>
      <c r="O217" s="632"/>
      <c r="P217" s="632"/>
      <c r="Q217" s="632"/>
      <c r="R217" s="632"/>
      <c r="S217" s="628"/>
      <c r="T217" s="628"/>
      <c r="U217" s="628"/>
      <c r="V217" s="628"/>
      <c r="W217" s="673"/>
      <c r="X217" s="673"/>
      <c r="Y217" s="673"/>
      <c r="Z217" s="673"/>
    </row>
    <row r="218" spans="1:26" ht="62.25" customHeight="1" x14ac:dyDescent="0.2">
      <c r="A218" s="627"/>
      <c r="B218" s="627"/>
      <c r="C218" s="627"/>
      <c r="D218" s="627"/>
      <c r="E218" s="627"/>
      <c r="F218" s="540"/>
      <c r="G218" s="540"/>
      <c r="H218" s="540"/>
      <c r="I218" s="722"/>
      <c r="J218" s="721"/>
      <c r="K218" s="633"/>
      <c r="L218" s="633"/>
      <c r="M218" s="633"/>
      <c r="N218" s="632"/>
      <c r="O218" s="632"/>
      <c r="P218" s="632"/>
      <c r="Q218" s="632"/>
      <c r="R218" s="632"/>
      <c r="S218" s="628"/>
      <c r="T218" s="628"/>
      <c r="U218" s="628"/>
      <c r="V218" s="628"/>
      <c r="W218" s="673"/>
      <c r="X218" s="673"/>
      <c r="Y218" s="673"/>
      <c r="Z218" s="673"/>
    </row>
    <row r="219" spans="1:26" ht="62.25" customHeight="1" x14ac:dyDescent="0.2">
      <c r="A219" s="627"/>
      <c r="B219" s="627"/>
      <c r="C219" s="627"/>
      <c r="D219" s="627"/>
      <c r="E219" s="627"/>
      <c r="F219" s="540"/>
      <c r="G219" s="540"/>
      <c r="H219" s="540"/>
      <c r="I219" s="722"/>
      <c r="J219" s="721"/>
      <c r="K219" s="633"/>
      <c r="L219" s="633"/>
      <c r="M219" s="633"/>
      <c r="N219" s="632"/>
      <c r="O219" s="632"/>
      <c r="P219" s="632"/>
      <c r="Q219" s="632"/>
      <c r="R219" s="632"/>
      <c r="S219" s="628"/>
      <c r="T219" s="628"/>
      <c r="U219" s="628"/>
      <c r="V219" s="628"/>
      <c r="W219" s="673"/>
      <c r="X219" s="673"/>
      <c r="Y219" s="673"/>
      <c r="Z219" s="673"/>
    </row>
    <row r="220" spans="1:26" ht="62.25" customHeight="1" x14ac:dyDescent="0.2">
      <c r="A220" s="627"/>
      <c r="B220" s="627"/>
      <c r="C220" s="627"/>
      <c r="D220" s="627"/>
      <c r="E220" s="627"/>
      <c r="F220" s="540"/>
      <c r="G220" s="540"/>
      <c r="H220" s="540"/>
      <c r="I220" s="722"/>
      <c r="J220" s="721"/>
      <c r="K220" s="633"/>
      <c r="L220" s="633"/>
      <c r="M220" s="633"/>
      <c r="N220" s="632"/>
      <c r="O220" s="632"/>
      <c r="P220" s="632"/>
      <c r="Q220" s="632"/>
      <c r="R220" s="632"/>
      <c r="S220" s="628"/>
      <c r="T220" s="628"/>
      <c r="U220" s="628"/>
      <c r="V220" s="628"/>
      <c r="W220" s="673"/>
      <c r="X220" s="673"/>
      <c r="Y220" s="673"/>
      <c r="Z220" s="673"/>
    </row>
    <row r="221" spans="1:26" ht="62.25" customHeight="1" x14ac:dyDescent="0.2">
      <c r="A221" s="627"/>
      <c r="B221" s="627"/>
      <c r="C221" s="627"/>
      <c r="D221" s="627"/>
      <c r="E221" s="627"/>
      <c r="F221" s="540"/>
      <c r="G221" s="540"/>
      <c r="H221" s="540"/>
      <c r="I221" s="722"/>
      <c r="J221" s="721"/>
      <c r="K221" s="633"/>
      <c r="L221" s="633"/>
      <c r="M221" s="633"/>
      <c r="N221" s="632"/>
      <c r="O221" s="632"/>
      <c r="P221" s="632"/>
      <c r="Q221" s="632"/>
      <c r="R221" s="632"/>
      <c r="S221" s="628"/>
      <c r="T221" s="628"/>
      <c r="U221" s="628"/>
      <c r="V221" s="628"/>
      <c r="W221" s="673"/>
      <c r="X221" s="673"/>
      <c r="Y221" s="673"/>
      <c r="Z221" s="673"/>
    </row>
    <row r="222" spans="1:26" ht="62.25" customHeight="1" x14ac:dyDescent="0.2">
      <c r="A222" s="627"/>
      <c r="B222" s="627"/>
      <c r="C222" s="627"/>
      <c r="D222" s="627"/>
      <c r="E222" s="627"/>
      <c r="F222" s="540"/>
      <c r="G222" s="540"/>
      <c r="H222" s="540"/>
      <c r="I222" s="722"/>
      <c r="J222" s="721"/>
      <c r="K222" s="633"/>
      <c r="L222" s="633"/>
      <c r="M222" s="633"/>
      <c r="N222" s="632"/>
      <c r="O222" s="632"/>
      <c r="P222" s="632"/>
      <c r="Q222" s="632"/>
      <c r="R222" s="632"/>
      <c r="S222" s="628"/>
      <c r="T222" s="628"/>
      <c r="U222" s="628"/>
      <c r="V222" s="628"/>
      <c r="W222" s="673"/>
      <c r="X222" s="673"/>
      <c r="Y222" s="673"/>
      <c r="Z222" s="673"/>
    </row>
    <row r="223" spans="1:26" ht="62.25" customHeight="1" x14ac:dyDescent="0.2">
      <c r="A223" s="627"/>
      <c r="B223" s="627"/>
      <c r="C223" s="627"/>
      <c r="D223" s="627"/>
      <c r="E223" s="627"/>
      <c r="F223" s="540"/>
      <c r="G223" s="540"/>
      <c r="H223" s="540"/>
      <c r="I223" s="722"/>
      <c r="J223" s="721"/>
      <c r="K223" s="633"/>
      <c r="L223" s="633"/>
      <c r="M223" s="633"/>
      <c r="N223" s="632"/>
      <c r="O223" s="632"/>
      <c r="P223" s="632"/>
      <c r="Q223" s="632"/>
      <c r="R223" s="632"/>
      <c r="S223" s="628"/>
      <c r="T223" s="628"/>
      <c r="U223" s="628"/>
      <c r="V223" s="628"/>
      <c r="W223" s="673"/>
      <c r="X223" s="673"/>
      <c r="Y223" s="673"/>
      <c r="Z223" s="673"/>
    </row>
    <row r="224" spans="1:26" ht="62.25" customHeight="1" x14ac:dyDescent="0.2">
      <c r="A224" s="627"/>
      <c r="B224" s="627"/>
      <c r="C224" s="627"/>
      <c r="D224" s="627"/>
      <c r="E224" s="627"/>
      <c r="F224" s="540"/>
      <c r="G224" s="540"/>
      <c r="H224" s="540"/>
      <c r="I224" s="722"/>
      <c r="J224" s="721"/>
      <c r="K224" s="633"/>
      <c r="L224" s="633"/>
      <c r="M224" s="633"/>
      <c r="N224" s="632"/>
      <c r="O224" s="632"/>
      <c r="P224" s="632"/>
      <c r="Q224" s="632"/>
      <c r="R224" s="632"/>
      <c r="S224" s="628"/>
      <c r="T224" s="628"/>
      <c r="U224" s="628"/>
      <c r="V224" s="628"/>
      <c r="W224" s="673"/>
      <c r="X224" s="673"/>
      <c r="Y224" s="673"/>
      <c r="Z224" s="673"/>
    </row>
    <row r="225" spans="1:26" ht="62.25" customHeight="1" x14ac:dyDescent="0.2">
      <c r="A225" s="627"/>
      <c r="B225" s="627"/>
      <c r="C225" s="627"/>
      <c r="D225" s="627"/>
      <c r="E225" s="627"/>
      <c r="F225" s="540"/>
      <c r="G225" s="540"/>
      <c r="H225" s="540"/>
      <c r="I225" s="722"/>
      <c r="J225" s="721"/>
      <c r="K225" s="633"/>
      <c r="L225" s="633"/>
      <c r="M225" s="633"/>
      <c r="N225" s="632"/>
      <c r="O225" s="632"/>
      <c r="P225" s="632"/>
      <c r="Q225" s="632"/>
      <c r="R225" s="632"/>
      <c r="S225" s="628"/>
      <c r="T225" s="628"/>
      <c r="U225" s="628"/>
      <c r="V225" s="628"/>
      <c r="W225" s="673"/>
      <c r="X225" s="673"/>
      <c r="Y225" s="673"/>
      <c r="Z225" s="673"/>
    </row>
    <row r="226" spans="1:26" ht="62.25" customHeight="1" x14ac:dyDescent="0.2">
      <c r="A226" s="627"/>
      <c r="B226" s="627"/>
      <c r="C226" s="627"/>
      <c r="D226" s="627"/>
      <c r="E226" s="627"/>
      <c r="F226" s="540"/>
      <c r="G226" s="540"/>
      <c r="H226" s="540"/>
      <c r="I226" s="722"/>
      <c r="J226" s="721"/>
      <c r="K226" s="633"/>
      <c r="L226" s="633"/>
      <c r="M226" s="633"/>
      <c r="N226" s="632"/>
      <c r="O226" s="632"/>
      <c r="P226" s="632"/>
      <c r="Q226" s="632"/>
      <c r="R226" s="632"/>
      <c r="S226" s="628"/>
      <c r="T226" s="628"/>
      <c r="U226" s="628"/>
      <c r="V226" s="628"/>
      <c r="W226" s="673"/>
      <c r="X226" s="673"/>
      <c r="Y226" s="673"/>
      <c r="Z226" s="673"/>
    </row>
    <row r="227" spans="1:26" ht="62.25" customHeight="1" x14ac:dyDescent="0.2">
      <c r="A227" s="627"/>
      <c r="B227" s="627"/>
      <c r="C227" s="627"/>
      <c r="D227" s="627"/>
      <c r="E227" s="627"/>
      <c r="F227" s="540"/>
      <c r="G227" s="540"/>
      <c r="H227" s="540"/>
      <c r="I227" s="722"/>
      <c r="J227" s="721"/>
      <c r="K227" s="633"/>
      <c r="L227" s="633"/>
      <c r="M227" s="633"/>
      <c r="N227" s="632"/>
      <c r="O227" s="632"/>
      <c r="P227" s="632"/>
      <c r="Q227" s="632"/>
      <c r="R227" s="632"/>
      <c r="S227" s="628"/>
      <c r="T227" s="628"/>
      <c r="U227" s="628"/>
      <c r="V227" s="628"/>
      <c r="W227" s="673"/>
      <c r="X227" s="673"/>
      <c r="Y227" s="673"/>
      <c r="Z227" s="673"/>
    </row>
    <row r="228" spans="1:26" ht="62.25" customHeight="1" x14ac:dyDescent="0.2">
      <c r="A228" s="627"/>
      <c r="B228" s="627"/>
      <c r="C228" s="627"/>
      <c r="D228" s="627"/>
      <c r="E228" s="627"/>
      <c r="F228" s="540"/>
      <c r="G228" s="540"/>
      <c r="H228" s="540"/>
      <c r="I228" s="722"/>
      <c r="J228" s="721"/>
      <c r="K228" s="633"/>
      <c r="L228" s="633"/>
      <c r="M228" s="633"/>
      <c r="N228" s="632"/>
      <c r="O228" s="632"/>
      <c r="P228" s="632"/>
      <c r="Q228" s="632"/>
      <c r="R228" s="632"/>
      <c r="S228" s="628"/>
      <c r="T228" s="628"/>
      <c r="U228" s="628"/>
      <c r="V228" s="628"/>
      <c r="W228" s="673"/>
      <c r="X228" s="673"/>
      <c r="Y228" s="673"/>
      <c r="Z228" s="673"/>
    </row>
    <row r="229" spans="1:26" ht="62.25" customHeight="1" x14ac:dyDescent="0.2">
      <c r="A229" s="627"/>
      <c r="B229" s="627"/>
      <c r="C229" s="627"/>
      <c r="D229" s="627"/>
      <c r="E229" s="627"/>
      <c r="F229" s="540"/>
      <c r="G229" s="540"/>
      <c r="H229" s="540"/>
      <c r="I229" s="722"/>
      <c r="J229" s="721"/>
      <c r="K229" s="633"/>
      <c r="L229" s="633"/>
      <c r="M229" s="633"/>
      <c r="N229" s="632"/>
      <c r="O229" s="632"/>
      <c r="P229" s="632"/>
      <c r="Q229" s="632"/>
      <c r="R229" s="632"/>
      <c r="S229" s="628"/>
      <c r="T229" s="628"/>
      <c r="U229" s="628"/>
      <c r="V229" s="628"/>
      <c r="W229" s="673"/>
      <c r="X229" s="673"/>
      <c r="Y229" s="673"/>
      <c r="Z229" s="673"/>
    </row>
    <row r="230" spans="1:26" ht="62.25" customHeight="1" x14ac:dyDescent="0.2">
      <c r="A230" s="627"/>
      <c r="B230" s="627"/>
      <c r="C230" s="627"/>
      <c r="D230" s="627"/>
      <c r="E230" s="627"/>
      <c r="F230" s="540"/>
      <c r="G230" s="540"/>
      <c r="H230" s="540"/>
      <c r="I230" s="722"/>
      <c r="J230" s="721"/>
      <c r="K230" s="633"/>
      <c r="L230" s="633"/>
      <c r="M230" s="633"/>
      <c r="N230" s="632"/>
      <c r="O230" s="632"/>
      <c r="P230" s="632"/>
      <c r="Q230" s="632"/>
      <c r="R230" s="632"/>
      <c r="S230" s="628"/>
      <c r="T230" s="628"/>
      <c r="U230" s="628"/>
      <c r="V230" s="628"/>
      <c r="W230" s="673"/>
      <c r="X230" s="673"/>
      <c r="Y230" s="673"/>
      <c r="Z230" s="673"/>
    </row>
    <row r="231" spans="1:26" ht="62.25" customHeight="1" x14ac:dyDescent="0.2">
      <c r="A231" s="627"/>
      <c r="B231" s="627"/>
      <c r="C231" s="627"/>
      <c r="D231" s="627"/>
      <c r="E231" s="627"/>
      <c r="F231" s="540"/>
      <c r="G231" s="540"/>
      <c r="H231" s="540"/>
      <c r="I231" s="722"/>
      <c r="J231" s="721"/>
      <c r="K231" s="633"/>
      <c r="L231" s="633"/>
      <c r="M231" s="633"/>
      <c r="N231" s="632"/>
      <c r="O231" s="632"/>
      <c r="P231" s="632"/>
      <c r="Q231" s="632"/>
      <c r="R231" s="632"/>
      <c r="S231" s="628"/>
      <c r="T231" s="628"/>
      <c r="U231" s="628"/>
      <c r="V231" s="628"/>
      <c r="W231" s="673"/>
      <c r="X231" s="673"/>
      <c r="Y231" s="673"/>
      <c r="Z231" s="673"/>
    </row>
    <row r="232" spans="1:26" ht="62.25" customHeight="1" x14ac:dyDescent="0.2">
      <c r="A232" s="627"/>
      <c r="B232" s="627"/>
      <c r="C232" s="627"/>
      <c r="D232" s="627"/>
      <c r="E232" s="627"/>
      <c r="F232" s="540"/>
      <c r="G232" s="540"/>
      <c r="H232" s="540"/>
      <c r="I232" s="722"/>
      <c r="J232" s="721"/>
      <c r="K232" s="633"/>
      <c r="L232" s="633"/>
      <c r="M232" s="633"/>
      <c r="N232" s="632"/>
      <c r="O232" s="632"/>
      <c r="P232" s="632"/>
      <c r="Q232" s="632"/>
      <c r="R232" s="632"/>
      <c r="S232" s="628"/>
      <c r="T232" s="628"/>
      <c r="U232" s="628"/>
      <c r="V232" s="628"/>
      <c r="W232" s="673"/>
      <c r="X232" s="673"/>
      <c r="Y232" s="673"/>
      <c r="Z232" s="673"/>
    </row>
    <row r="233" spans="1:26" ht="62.25" customHeight="1" x14ac:dyDescent="0.2">
      <c r="A233" s="627"/>
      <c r="B233" s="627"/>
      <c r="C233" s="627"/>
      <c r="D233" s="627"/>
      <c r="E233" s="627"/>
      <c r="F233" s="540"/>
      <c r="G233" s="540"/>
      <c r="H233" s="540"/>
      <c r="I233" s="722"/>
      <c r="J233" s="721"/>
      <c r="K233" s="633"/>
      <c r="L233" s="633"/>
      <c r="M233" s="633"/>
      <c r="N233" s="632"/>
      <c r="O233" s="632"/>
      <c r="P233" s="632"/>
      <c r="Q233" s="632"/>
      <c r="R233" s="632"/>
      <c r="S233" s="628"/>
      <c r="T233" s="628"/>
      <c r="U233" s="628"/>
      <c r="V233" s="628"/>
      <c r="W233" s="673"/>
      <c r="X233" s="673"/>
      <c r="Y233" s="673"/>
      <c r="Z233" s="673"/>
    </row>
    <row r="234" spans="1:26" ht="62.25" customHeight="1" x14ac:dyDescent="0.2">
      <c r="A234" s="627"/>
      <c r="B234" s="627"/>
      <c r="C234" s="627"/>
      <c r="D234" s="627"/>
      <c r="E234" s="627"/>
      <c r="F234" s="540"/>
      <c r="G234" s="540"/>
      <c r="H234" s="540"/>
      <c r="I234" s="722"/>
      <c r="J234" s="721"/>
      <c r="K234" s="633"/>
      <c r="L234" s="633"/>
      <c r="M234" s="633"/>
      <c r="N234" s="632"/>
      <c r="O234" s="632"/>
      <c r="P234" s="632"/>
      <c r="Q234" s="632"/>
      <c r="R234" s="632"/>
      <c r="S234" s="628"/>
      <c r="T234" s="628"/>
      <c r="U234" s="628"/>
      <c r="V234" s="628"/>
      <c r="W234" s="673"/>
      <c r="X234" s="673"/>
      <c r="Y234" s="673"/>
      <c r="Z234" s="673"/>
    </row>
    <row r="235" spans="1:26" ht="62.25" customHeight="1" x14ac:dyDescent="0.2">
      <c r="A235" s="627"/>
      <c r="B235" s="627"/>
      <c r="C235" s="627"/>
      <c r="D235" s="627"/>
      <c r="E235" s="627"/>
      <c r="F235" s="540"/>
      <c r="G235" s="540"/>
      <c r="H235" s="540"/>
      <c r="I235" s="722"/>
      <c r="J235" s="721"/>
      <c r="K235" s="633"/>
      <c r="L235" s="633"/>
      <c r="M235" s="633"/>
      <c r="N235" s="632"/>
      <c r="O235" s="632"/>
      <c r="P235" s="632"/>
      <c r="Q235" s="632"/>
      <c r="R235" s="632"/>
      <c r="S235" s="628"/>
      <c r="T235" s="628"/>
      <c r="U235" s="628"/>
      <c r="V235" s="628"/>
      <c r="W235" s="673"/>
      <c r="X235" s="673"/>
      <c r="Y235" s="673"/>
      <c r="Z235" s="673"/>
    </row>
    <row r="236" spans="1:26" ht="62.25" customHeight="1" x14ac:dyDescent="0.2">
      <c r="A236" s="627"/>
      <c r="B236" s="627"/>
      <c r="C236" s="627"/>
      <c r="D236" s="627"/>
      <c r="E236" s="627"/>
      <c r="F236" s="540"/>
      <c r="G236" s="540"/>
      <c r="H236" s="540"/>
      <c r="I236" s="722"/>
      <c r="J236" s="721"/>
      <c r="K236" s="633"/>
      <c r="L236" s="633"/>
      <c r="M236" s="633"/>
      <c r="N236" s="632"/>
      <c r="O236" s="632"/>
      <c r="P236" s="632"/>
      <c r="Q236" s="632"/>
      <c r="R236" s="632"/>
      <c r="S236" s="628"/>
      <c r="T236" s="628"/>
      <c r="U236" s="628"/>
      <c r="V236" s="628"/>
      <c r="W236" s="673"/>
      <c r="X236" s="673"/>
      <c r="Y236" s="673"/>
      <c r="Z236" s="673"/>
    </row>
    <row r="237" spans="1:26" ht="62.25" customHeight="1" x14ac:dyDescent="0.2">
      <c r="A237" s="627"/>
      <c r="B237" s="627"/>
      <c r="C237" s="627"/>
      <c r="D237" s="627"/>
      <c r="E237" s="627"/>
      <c r="F237" s="540"/>
      <c r="G237" s="540"/>
      <c r="H237" s="540"/>
      <c r="I237" s="722"/>
      <c r="J237" s="721"/>
      <c r="K237" s="633"/>
      <c r="L237" s="633"/>
      <c r="M237" s="633"/>
      <c r="N237" s="632"/>
      <c r="O237" s="632"/>
      <c r="P237" s="632"/>
      <c r="Q237" s="632"/>
      <c r="R237" s="632"/>
      <c r="S237" s="628"/>
      <c r="T237" s="628"/>
      <c r="U237" s="628"/>
      <c r="V237" s="628"/>
      <c r="W237" s="673"/>
      <c r="X237" s="673"/>
      <c r="Y237" s="673"/>
      <c r="Z237" s="673"/>
    </row>
    <row r="238" spans="1:26" ht="62.25" customHeight="1" x14ac:dyDescent="0.2">
      <c r="A238" s="627"/>
      <c r="B238" s="627"/>
      <c r="C238" s="627"/>
      <c r="D238" s="627"/>
      <c r="E238" s="627"/>
      <c r="F238" s="540"/>
      <c r="G238" s="540"/>
      <c r="H238" s="540"/>
      <c r="I238" s="722"/>
      <c r="J238" s="721"/>
      <c r="K238" s="633"/>
      <c r="L238" s="633"/>
      <c r="M238" s="633"/>
      <c r="N238" s="632"/>
      <c r="O238" s="632"/>
      <c r="P238" s="632"/>
      <c r="Q238" s="632"/>
      <c r="R238" s="632"/>
      <c r="S238" s="628"/>
      <c r="T238" s="628"/>
      <c r="U238" s="628"/>
      <c r="V238" s="628"/>
      <c r="W238" s="673"/>
      <c r="X238" s="673"/>
      <c r="Y238" s="673"/>
      <c r="Z238" s="673"/>
    </row>
    <row r="239" spans="1:26" ht="62.25" customHeight="1" x14ac:dyDescent="0.2">
      <c r="A239" s="627"/>
      <c r="B239" s="627"/>
      <c r="C239" s="627"/>
      <c r="D239" s="627"/>
      <c r="E239" s="627"/>
      <c r="F239" s="540"/>
      <c r="G239" s="540"/>
      <c r="H239" s="540"/>
      <c r="I239" s="722"/>
      <c r="J239" s="721"/>
      <c r="K239" s="633"/>
      <c r="L239" s="633"/>
      <c r="M239" s="633"/>
      <c r="N239" s="632"/>
      <c r="O239" s="632"/>
      <c r="P239" s="632"/>
      <c r="Q239" s="632"/>
      <c r="R239" s="632"/>
      <c r="S239" s="628"/>
      <c r="T239" s="628"/>
      <c r="U239" s="628"/>
      <c r="V239" s="628"/>
      <c r="W239" s="673"/>
      <c r="X239" s="673"/>
      <c r="Y239" s="673"/>
      <c r="Z239" s="673"/>
    </row>
    <row r="240" spans="1:26" ht="62.25" customHeight="1" x14ac:dyDescent="0.2">
      <c r="A240" s="627"/>
      <c r="B240" s="627"/>
      <c r="C240" s="627"/>
      <c r="D240" s="627"/>
      <c r="E240" s="627"/>
      <c r="F240" s="540"/>
      <c r="G240" s="540"/>
      <c r="H240" s="540"/>
      <c r="I240" s="722"/>
      <c r="J240" s="721"/>
      <c r="K240" s="633"/>
      <c r="L240" s="633"/>
      <c r="M240" s="633"/>
      <c r="N240" s="632"/>
      <c r="O240" s="632"/>
      <c r="P240" s="632"/>
      <c r="Q240" s="632"/>
      <c r="R240" s="632"/>
      <c r="S240" s="628"/>
      <c r="T240" s="628"/>
      <c r="U240" s="628"/>
      <c r="V240" s="628"/>
      <c r="W240" s="673"/>
      <c r="X240" s="673"/>
      <c r="Y240" s="673"/>
      <c r="Z240" s="673"/>
    </row>
    <row r="241" spans="1:26" ht="62.25" customHeight="1" x14ac:dyDescent="0.2">
      <c r="A241" s="627"/>
      <c r="B241" s="627"/>
      <c r="C241" s="627"/>
      <c r="D241" s="627"/>
      <c r="E241" s="627"/>
      <c r="F241" s="540"/>
      <c r="G241" s="540"/>
      <c r="H241" s="540"/>
      <c r="I241" s="722"/>
      <c r="J241" s="721"/>
      <c r="K241" s="633"/>
      <c r="L241" s="633"/>
      <c r="M241" s="633"/>
      <c r="N241" s="632"/>
      <c r="O241" s="632"/>
      <c r="P241" s="632"/>
      <c r="Q241" s="632"/>
      <c r="R241" s="632"/>
      <c r="S241" s="628"/>
      <c r="T241" s="628"/>
      <c r="U241" s="628"/>
      <c r="V241" s="628"/>
      <c r="W241" s="673"/>
      <c r="X241" s="673"/>
      <c r="Y241" s="673"/>
      <c r="Z241" s="673"/>
    </row>
    <row r="242" spans="1:26" ht="62.25" customHeight="1" x14ac:dyDescent="0.2">
      <c r="A242" s="627"/>
      <c r="B242" s="627"/>
      <c r="C242" s="627"/>
      <c r="D242" s="627"/>
      <c r="E242" s="627"/>
      <c r="F242" s="540"/>
      <c r="G242" s="540"/>
      <c r="H242" s="540"/>
      <c r="I242" s="722"/>
      <c r="J242" s="721"/>
      <c r="K242" s="633"/>
      <c r="L242" s="633"/>
      <c r="M242" s="633"/>
      <c r="N242" s="632"/>
      <c r="O242" s="632"/>
      <c r="P242" s="632"/>
      <c r="Q242" s="632"/>
      <c r="R242" s="632"/>
      <c r="S242" s="628"/>
      <c r="T242" s="628"/>
      <c r="U242" s="628"/>
      <c r="V242" s="628"/>
      <c r="W242" s="673"/>
      <c r="X242" s="673"/>
      <c r="Y242" s="673"/>
      <c r="Z242" s="673"/>
    </row>
    <row r="243" spans="1:26" ht="62.25" customHeight="1" x14ac:dyDescent="0.2">
      <c r="A243" s="627"/>
      <c r="B243" s="627"/>
      <c r="C243" s="627"/>
      <c r="D243" s="627"/>
      <c r="E243" s="627"/>
      <c r="F243" s="540"/>
      <c r="G243" s="540"/>
      <c r="H243" s="540"/>
      <c r="I243" s="722"/>
      <c r="J243" s="721"/>
      <c r="K243" s="633"/>
      <c r="L243" s="633"/>
      <c r="M243" s="633"/>
      <c r="N243" s="632"/>
      <c r="O243" s="632"/>
      <c r="P243" s="632"/>
      <c r="Q243" s="632"/>
      <c r="R243" s="632"/>
      <c r="S243" s="628"/>
      <c r="T243" s="628"/>
      <c r="U243" s="628"/>
      <c r="V243" s="628"/>
      <c r="W243" s="673"/>
      <c r="X243" s="673"/>
      <c r="Y243" s="673"/>
      <c r="Z243" s="673"/>
    </row>
    <row r="244" spans="1:26" ht="62.25" customHeight="1" x14ac:dyDescent="0.2">
      <c r="A244" s="627"/>
      <c r="B244" s="627"/>
      <c r="C244" s="627"/>
      <c r="D244" s="627"/>
      <c r="E244" s="627"/>
      <c r="F244" s="540"/>
      <c r="G244" s="540"/>
      <c r="H244" s="540"/>
      <c r="I244" s="722"/>
      <c r="J244" s="721"/>
      <c r="K244" s="633"/>
      <c r="L244" s="633"/>
      <c r="M244" s="633"/>
      <c r="N244" s="632"/>
      <c r="O244" s="632"/>
      <c r="P244" s="632"/>
      <c r="Q244" s="632"/>
      <c r="R244" s="632"/>
      <c r="S244" s="628"/>
      <c r="T244" s="628"/>
      <c r="U244" s="628"/>
      <c r="V244" s="628"/>
      <c r="W244" s="673"/>
      <c r="X244" s="673"/>
      <c r="Y244" s="673"/>
      <c r="Z244" s="673"/>
    </row>
    <row r="245" spans="1:26" ht="62.25" customHeight="1" x14ac:dyDescent="0.2">
      <c r="A245" s="627"/>
      <c r="B245" s="627"/>
      <c r="C245" s="627"/>
      <c r="D245" s="627"/>
      <c r="E245" s="627"/>
      <c r="F245" s="540"/>
      <c r="G245" s="540"/>
      <c r="H245" s="540"/>
      <c r="I245" s="722"/>
      <c r="J245" s="721"/>
      <c r="K245" s="633"/>
      <c r="L245" s="633"/>
      <c r="M245" s="633"/>
      <c r="N245" s="632"/>
      <c r="O245" s="632"/>
      <c r="P245" s="632"/>
      <c r="Q245" s="632"/>
      <c r="R245" s="632"/>
      <c r="S245" s="628"/>
      <c r="T245" s="628"/>
      <c r="U245" s="628"/>
      <c r="V245" s="628"/>
      <c r="W245" s="673"/>
      <c r="X245" s="673"/>
      <c r="Y245" s="673"/>
      <c r="Z245" s="673"/>
    </row>
    <row r="246" spans="1:26" ht="62.25" customHeight="1" x14ac:dyDescent="0.2">
      <c r="A246" s="627"/>
      <c r="B246" s="627"/>
      <c r="C246" s="627"/>
      <c r="D246" s="627"/>
      <c r="E246" s="627"/>
      <c r="F246" s="540"/>
      <c r="G246" s="540"/>
      <c r="H246" s="540"/>
      <c r="I246" s="722"/>
      <c r="J246" s="721"/>
      <c r="K246" s="633"/>
      <c r="L246" s="633"/>
      <c r="M246" s="633"/>
      <c r="N246" s="632"/>
      <c r="O246" s="632"/>
      <c r="P246" s="632"/>
      <c r="Q246" s="632"/>
      <c r="R246" s="632"/>
      <c r="S246" s="628"/>
      <c r="T246" s="628"/>
      <c r="U246" s="628"/>
      <c r="V246" s="628"/>
      <c r="W246" s="673"/>
      <c r="X246" s="673"/>
      <c r="Y246" s="673"/>
      <c r="Z246" s="673"/>
    </row>
    <row r="247" spans="1:26" ht="62.25" customHeight="1" x14ac:dyDescent="0.2">
      <c r="A247" s="627"/>
      <c r="B247" s="627"/>
      <c r="C247" s="627"/>
      <c r="D247" s="627"/>
      <c r="E247" s="627"/>
      <c r="F247" s="540"/>
      <c r="G247" s="540"/>
      <c r="H247" s="540"/>
      <c r="I247" s="722"/>
      <c r="J247" s="721"/>
      <c r="K247" s="633"/>
      <c r="L247" s="633"/>
      <c r="M247" s="633"/>
      <c r="N247" s="632"/>
      <c r="O247" s="632"/>
      <c r="P247" s="632"/>
      <c r="Q247" s="632"/>
      <c r="R247" s="632"/>
      <c r="S247" s="628"/>
      <c r="T247" s="628"/>
      <c r="U247" s="628"/>
      <c r="V247" s="628"/>
      <c r="W247" s="673"/>
      <c r="X247" s="673"/>
      <c r="Y247" s="673"/>
      <c r="Z247" s="673"/>
    </row>
    <row r="248" spans="1:26" ht="62.25" customHeight="1" x14ac:dyDescent="0.2">
      <c r="A248" s="627"/>
      <c r="B248" s="627"/>
      <c r="C248" s="627"/>
      <c r="D248" s="627"/>
      <c r="E248" s="627"/>
      <c r="F248" s="540"/>
      <c r="G248" s="540"/>
      <c r="H248" s="540"/>
      <c r="I248" s="722"/>
      <c r="J248" s="721"/>
      <c r="K248" s="633"/>
      <c r="L248" s="633"/>
      <c r="M248" s="633"/>
      <c r="N248" s="632"/>
      <c r="O248" s="632"/>
      <c r="P248" s="632"/>
      <c r="Q248" s="632"/>
      <c r="R248" s="632"/>
      <c r="S248" s="628"/>
      <c r="T248" s="628"/>
      <c r="U248" s="628"/>
      <c r="V248" s="628"/>
      <c r="W248" s="673"/>
      <c r="X248" s="673"/>
      <c r="Y248" s="673"/>
      <c r="Z248" s="673"/>
    </row>
    <row r="249" spans="1:26" ht="62.25" customHeight="1" x14ac:dyDescent="0.2">
      <c r="A249" s="627"/>
      <c r="B249" s="627"/>
      <c r="C249" s="627"/>
      <c r="D249" s="627"/>
      <c r="E249" s="627"/>
      <c r="F249" s="540"/>
      <c r="G249" s="540"/>
      <c r="H249" s="540"/>
      <c r="I249" s="722"/>
      <c r="J249" s="721"/>
      <c r="K249" s="633"/>
      <c r="L249" s="633"/>
      <c r="M249" s="633"/>
      <c r="N249" s="632"/>
      <c r="O249" s="632"/>
      <c r="P249" s="632"/>
      <c r="Q249" s="632"/>
      <c r="R249" s="632"/>
      <c r="S249" s="628"/>
      <c r="T249" s="628"/>
      <c r="U249" s="628"/>
      <c r="V249" s="628"/>
      <c r="W249" s="673"/>
      <c r="X249" s="673"/>
      <c r="Y249" s="673"/>
      <c r="Z249" s="673"/>
    </row>
    <row r="250" spans="1:26" ht="62.25" customHeight="1" x14ac:dyDescent="0.2">
      <c r="A250" s="627"/>
      <c r="B250" s="627"/>
      <c r="C250" s="627"/>
      <c r="D250" s="627"/>
      <c r="E250" s="627"/>
      <c r="F250" s="540"/>
      <c r="G250" s="540"/>
      <c r="H250" s="540"/>
      <c r="I250" s="722"/>
      <c r="J250" s="721"/>
      <c r="K250" s="633"/>
      <c r="L250" s="633"/>
      <c r="M250" s="633"/>
      <c r="N250" s="632"/>
      <c r="O250" s="632"/>
      <c r="P250" s="632"/>
      <c r="Q250" s="632"/>
      <c r="R250" s="632"/>
      <c r="S250" s="628"/>
      <c r="T250" s="628"/>
      <c r="U250" s="628"/>
      <c r="V250" s="628"/>
      <c r="W250" s="673"/>
      <c r="X250" s="673"/>
      <c r="Y250" s="673"/>
      <c r="Z250" s="673"/>
    </row>
    <row r="251" spans="1:26" ht="62.25" customHeight="1" x14ac:dyDescent="0.2">
      <c r="A251" s="627"/>
      <c r="B251" s="627"/>
      <c r="C251" s="627"/>
      <c r="D251" s="627"/>
      <c r="E251" s="627"/>
      <c r="F251" s="540"/>
      <c r="G251" s="540"/>
      <c r="H251" s="540"/>
      <c r="I251" s="722"/>
      <c r="J251" s="721"/>
      <c r="K251" s="633"/>
      <c r="L251" s="633"/>
      <c r="M251" s="633"/>
      <c r="N251" s="632"/>
      <c r="O251" s="632"/>
      <c r="P251" s="632"/>
      <c r="Q251" s="632"/>
      <c r="R251" s="632"/>
      <c r="S251" s="628"/>
      <c r="T251" s="628"/>
      <c r="U251" s="628"/>
      <c r="V251" s="628"/>
      <c r="W251" s="673"/>
      <c r="X251" s="673"/>
      <c r="Y251" s="673"/>
      <c r="Z251" s="673"/>
    </row>
    <row r="252" spans="1:26" ht="62.25" customHeight="1" x14ac:dyDescent="0.2">
      <c r="A252" s="627"/>
      <c r="B252" s="627"/>
      <c r="C252" s="627"/>
      <c r="D252" s="627"/>
      <c r="E252" s="627"/>
      <c r="F252" s="540"/>
      <c r="G252" s="540"/>
      <c r="H252" s="540"/>
      <c r="I252" s="722"/>
      <c r="J252" s="721"/>
      <c r="K252" s="633"/>
      <c r="L252" s="633"/>
      <c r="M252" s="633"/>
      <c r="N252" s="632"/>
      <c r="O252" s="632"/>
      <c r="P252" s="632"/>
      <c r="Q252" s="632"/>
      <c r="R252" s="632"/>
      <c r="S252" s="628"/>
      <c r="T252" s="628"/>
      <c r="U252" s="628"/>
      <c r="V252" s="628"/>
      <c r="W252" s="673"/>
      <c r="X252" s="673"/>
      <c r="Y252" s="673"/>
      <c r="Z252" s="673"/>
    </row>
    <row r="253" spans="1:26" ht="62.25" customHeight="1" x14ac:dyDescent="0.2">
      <c r="A253" s="627"/>
      <c r="B253" s="627"/>
      <c r="C253" s="627"/>
      <c r="D253" s="627"/>
      <c r="E253" s="627"/>
      <c r="F253" s="540"/>
      <c r="G253" s="540"/>
      <c r="H253" s="540"/>
      <c r="I253" s="722"/>
      <c r="J253" s="721"/>
      <c r="K253" s="633"/>
      <c r="L253" s="633"/>
      <c r="M253" s="633"/>
      <c r="N253" s="632"/>
      <c r="O253" s="632"/>
      <c r="P253" s="632"/>
      <c r="Q253" s="632"/>
      <c r="R253" s="632"/>
      <c r="S253" s="628"/>
      <c r="T253" s="628"/>
      <c r="U253" s="628"/>
      <c r="V253" s="628"/>
      <c r="W253" s="673"/>
      <c r="X253" s="673"/>
      <c r="Y253" s="673"/>
      <c r="Z253" s="673"/>
    </row>
    <row r="254" spans="1:26" ht="62.25" customHeight="1" x14ac:dyDescent="0.2">
      <c r="A254" s="627"/>
      <c r="B254" s="627"/>
      <c r="C254" s="627"/>
      <c r="D254" s="627"/>
      <c r="E254" s="627"/>
      <c r="F254" s="540"/>
      <c r="G254" s="540"/>
      <c r="H254" s="540"/>
      <c r="I254" s="722"/>
      <c r="J254" s="721"/>
      <c r="K254" s="633"/>
      <c r="L254" s="633"/>
      <c r="M254" s="633"/>
      <c r="N254" s="632"/>
      <c r="O254" s="632"/>
      <c r="P254" s="632"/>
      <c r="Q254" s="632"/>
      <c r="R254" s="632"/>
      <c r="S254" s="628"/>
      <c r="T254" s="628"/>
      <c r="U254" s="628"/>
      <c r="V254" s="628"/>
      <c r="W254" s="673"/>
      <c r="X254" s="673"/>
      <c r="Y254" s="673"/>
      <c r="Z254" s="673"/>
    </row>
    <row r="255" spans="1:26" ht="62.25" customHeight="1" x14ac:dyDescent="0.2">
      <c r="A255" s="627"/>
      <c r="B255" s="627"/>
      <c r="C255" s="627"/>
      <c r="D255" s="627"/>
      <c r="E255" s="627"/>
      <c r="F255" s="540"/>
      <c r="G255" s="540"/>
      <c r="H255" s="540"/>
      <c r="I255" s="722"/>
      <c r="J255" s="721"/>
      <c r="K255" s="633"/>
      <c r="L255" s="633"/>
      <c r="M255" s="633"/>
      <c r="N255" s="632"/>
      <c r="O255" s="632"/>
      <c r="P255" s="632"/>
      <c r="Q255" s="632"/>
      <c r="R255" s="632"/>
      <c r="S255" s="628"/>
      <c r="T255" s="628"/>
      <c r="U255" s="628"/>
      <c r="V255" s="628"/>
      <c r="W255" s="673"/>
      <c r="X255" s="673"/>
      <c r="Y255" s="673"/>
      <c r="Z255" s="673"/>
    </row>
    <row r="256" spans="1:26" ht="62.25" customHeight="1" x14ac:dyDescent="0.2">
      <c r="A256" s="627"/>
      <c r="B256" s="627"/>
      <c r="C256" s="627"/>
      <c r="D256" s="627"/>
      <c r="E256" s="627"/>
      <c r="F256" s="540"/>
      <c r="G256" s="540"/>
      <c r="H256" s="540"/>
      <c r="I256" s="722"/>
      <c r="J256" s="721"/>
      <c r="K256" s="633"/>
      <c r="L256" s="633"/>
      <c r="M256" s="633"/>
      <c r="N256" s="632"/>
      <c r="O256" s="632"/>
      <c r="P256" s="632"/>
      <c r="Q256" s="632"/>
      <c r="R256" s="632"/>
      <c r="S256" s="628"/>
      <c r="T256" s="628"/>
      <c r="U256" s="628"/>
      <c r="V256" s="628"/>
      <c r="W256" s="673"/>
      <c r="X256" s="673"/>
      <c r="Y256" s="673"/>
      <c r="Z256" s="673"/>
    </row>
    <row r="257" spans="1:28" ht="62.25" customHeight="1" x14ac:dyDescent="0.2">
      <c r="A257" s="627"/>
      <c r="B257" s="627"/>
      <c r="C257" s="627"/>
      <c r="D257" s="627"/>
      <c r="E257" s="627"/>
      <c r="F257" s="540"/>
      <c r="G257" s="540"/>
      <c r="H257" s="540"/>
      <c r="I257" s="722"/>
      <c r="J257" s="721"/>
      <c r="K257" s="633"/>
      <c r="L257" s="633"/>
      <c r="M257" s="633"/>
      <c r="N257" s="632"/>
      <c r="O257" s="632"/>
      <c r="P257" s="632"/>
      <c r="Q257" s="632"/>
      <c r="R257" s="632"/>
      <c r="S257" s="628"/>
      <c r="T257" s="628"/>
      <c r="U257" s="628"/>
      <c r="V257" s="628"/>
      <c r="W257" s="673"/>
      <c r="X257" s="673"/>
      <c r="Y257" s="673"/>
      <c r="Z257" s="673"/>
      <c r="AA257" s="623">
        <v>10608000</v>
      </c>
      <c r="AB257" s="623">
        <v>3293821</v>
      </c>
    </row>
    <row r="258" spans="1:28" ht="62.25" customHeight="1" x14ac:dyDescent="0.2">
      <c r="A258" s="627"/>
      <c r="B258" s="627"/>
      <c r="C258" s="627"/>
      <c r="D258" s="627"/>
      <c r="E258" s="627"/>
      <c r="F258" s="540"/>
      <c r="G258" s="540"/>
      <c r="H258" s="540"/>
      <c r="I258" s="722"/>
      <c r="J258" s="721"/>
      <c r="K258" s="633"/>
      <c r="L258" s="633"/>
      <c r="M258" s="633"/>
      <c r="N258" s="632"/>
      <c r="O258" s="632"/>
      <c r="P258" s="632"/>
      <c r="Q258" s="632"/>
      <c r="R258" s="632"/>
      <c r="S258" s="628"/>
      <c r="T258" s="628"/>
      <c r="U258" s="628"/>
      <c r="V258" s="628"/>
      <c r="W258" s="673"/>
      <c r="X258" s="673"/>
      <c r="Y258" s="673"/>
      <c r="Z258" s="673"/>
      <c r="AA258" s="623">
        <v>1263806</v>
      </c>
      <c r="AB258" s="623">
        <v>16000000</v>
      </c>
    </row>
    <row r="259" spans="1:28" ht="62.25" customHeight="1" x14ac:dyDescent="0.2">
      <c r="A259" s="627"/>
      <c r="B259" s="627"/>
      <c r="C259" s="627"/>
      <c r="D259" s="627"/>
      <c r="E259" s="627"/>
      <c r="F259" s="540"/>
      <c r="G259" s="540"/>
      <c r="H259" s="540"/>
      <c r="I259" s="722"/>
      <c r="J259" s="721"/>
      <c r="K259" s="633"/>
      <c r="L259" s="633"/>
      <c r="M259" s="633"/>
      <c r="N259" s="632"/>
      <c r="O259" s="632"/>
      <c r="P259" s="632"/>
      <c r="Q259" s="632"/>
      <c r="R259" s="632"/>
      <c r="S259" s="628"/>
      <c r="T259" s="628"/>
      <c r="U259" s="628"/>
      <c r="V259" s="628"/>
      <c r="W259" s="673"/>
      <c r="X259" s="673"/>
      <c r="Y259" s="673"/>
      <c r="Z259" s="673"/>
      <c r="AA259" s="623">
        <f>+AA257+AA258</f>
        <v>11871806</v>
      </c>
      <c r="AB259" s="623">
        <f>+AB257+AB258</f>
        <v>19293821</v>
      </c>
    </row>
    <row r="260" spans="1:28" ht="62.25" customHeight="1" x14ac:dyDescent="0.2">
      <c r="A260" s="627"/>
      <c r="B260" s="627"/>
      <c r="C260" s="627"/>
      <c r="D260" s="627"/>
      <c r="E260" s="627"/>
      <c r="F260" s="540"/>
      <c r="G260" s="540"/>
      <c r="H260" s="540"/>
      <c r="I260" s="722"/>
      <c r="J260" s="721"/>
      <c r="K260" s="633"/>
      <c r="L260" s="633"/>
      <c r="M260" s="633"/>
      <c r="N260" s="632"/>
      <c r="O260" s="632"/>
      <c r="P260" s="632"/>
      <c r="Q260" s="632"/>
      <c r="R260" s="632"/>
      <c r="S260" s="628"/>
      <c r="T260" s="628"/>
      <c r="U260" s="628"/>
      <c r="V260" s="628"/>
      <c r="W260" s="673"/>
      <c r="X260" s="673"/>
      <c r="Y260" s="673"/>
      <c r="Z260" s="673"/>
      <c r="AB260" s="623">
        <f>+AB259+AA259</f>
        <v>31165627</v>
      </c>
    </row>
    <row r="261" spans="1:28" ht="62.25" customHeight="1" x14ac:dyDescent="0.2">
      <c r="A261" s="627"/>
      <c r="B261" s="627"/>
      <c r="C261" s="627"/>
      <c r="D261" s="627"/>
      <c r="E261" s="627"/>
      <c r="F261" s="540"/>
      <c r="G261" s="540"/>
      <c r="H261" s="540"/>
      <c r="I261" s="722"/>
      <c r="J261" s="721"/>
      <c r="K261" s="633"/>
      <c r="L261" s="633"/>
      <c r="M261" s="633"/>
      <c r="N261" s="632"/>
      <c r="O261" s="632"/>
      <c r="P261" s="632"/>
      <c r="Q261" s="632"/>
      <c r="R261" s="632"/>
      <c r="S261" s="628"/>
      <c r="T261" s="628"/>
      <c r="U261" s="628"/>
      <c r="V261" s="628"/>
      <c r="W261" s="673"/>
      <c r="X261" s="673"/>
      <c r="Y261" s="673"/>
      <c r="Z261" s="673"/>
    </row>
    <row r="262" spans="1:28" ht="62.25" customHeight="1" x14ac:dyDescent="0.2">
      <c r="A262" s="627"/>
      <c r="B262" s="627"/>
      <c r="C262" s="627"/>
      <c r="D262" s="627"/>
      <c r="E262" s="627"/>
      <c r="F262" s="540"/>
      <c r="G262" s="540"/>
      <c r="H262" s="540"/>
      <c r="I262" s="722"/>
      <c r="J262" s="721"/>
      <c r="K262" s="633"/>
      <c r="L262" s="633"/>
      <c r="M262" s="633"/>
      <c r="N262" s="632"/>
      <c r="O262" s="632"/>
      <c r="P262" s="632"/>
      <c r="Q262" s="632"/>
      <c r="R262" s="632"/>
      <c r="S262" s="628"/>
      <c r="T262" s="628"/>
      <c r="U262" s="628"/>
      <c r="V262" s="628"/>
      <c r="W262" s="673"/>
      <c r="X262" s="673"/>
      <c r="Y262" s="673"/>
      <c r="Z262" s="673"/>
    </row>
    <row r="263" spans="1:28" ht="62.25" customHeight="1" x14ac:dyDescent="0.2">
      <c r="A263" s="627"/>
      <c r="B263" s="627"/>
      <c r="C263" s="627"/>
      <c r="D263" s="627"/>
      <c r="E263" s="627"/>
      <c r="F263" s="540"/>
      <c r="G263" s="540"/>
      <c r="H263" s="540"/>
      <c r="I263" s="722"/>
      <c r="J263" s="721"/>
      <c r="K263" s="633"/>
      <c r="L263" s="633"/>
      <c r="M263" s="633"/>
      <c r="N263" s="632"/>
      <c r="O263" s="632"/>
      <c r="P263" s="632"/>
      <c r="Q263" s="632"/>
      <c r="R263" s="632"/>
      <c r="S263" s="628"/>
      <c r="T263" s="628"/>
      <c r="U263" s="628"/>
      <c r="V263" s="628"/>
      <c r="W263" s="673"/>
      <c r="X263" s="673"/>
      <c r="Y263" s="673"/>
      <c r="Z263" s="673"/>
    </row>
    <row r="264" spans="1:28" ht="62.25" customHeight="1" x14ac:dyDescent="0.2">
      <c r="A264" s="627"/>
      <c r="B264" s="627"/>
      <c r="C264" s="627"/>
      <c r="D264" s="627"/>
      <c r="E264" s="627"/>
      <c r="F264" s="540"/>
      <c r="G264" s="540"/>
      <c r="H264" s="540"/>
      <c r="I264" s="722"/>
      <c r="J264" s="721"/>
      <c r="K264" s="633"/>
      <c r="L264" s="633"/>
      <c r="M264" s="633"/>
      <c r="N264" s="632"/>
      <c r="O264" s="632"/>
      <c r="P264" s="632"/>
      <c r="Q264" s="632"/>
      <c r="R264" s="632"/>
      <c r="S264" s="628"/>
      <c r="T264" s="628"/>
      <c r="U264" s="628"/>
      <c r="V264" s="628"/>
      <c r="W264" s="673"/>
      <c r="X264" s="673"/>
      <c r="Y264" s="673"/>
      <c r="Z264" s="673"/>
    </row>
    <row r="265" spans="1:28" ht="62.25" customHeight="1" x14ac:dyDescent="0.2">
      <c r="A265" s="627"/>
      <c r="B265" s="627"/>
      <c r="C265" s="627"/>
      <c r="D265" s="627"/>
      <c r="E265" s="627"/>
      <c r="F265" s="540"/>
      <c r="G265" s="540"/>
      <c r="H265" s="540"/>
      <c r="I265" s="722"/>
      <c r="J265" s="721"/>
      <c r="K265" s="633"/>
      <c r="L265" s="633"/>
      <c r="M265" s="633"/>
      <c r="N265" s="632"/>
      <c r="O265" s="632"/>
      <c r="P265" s="632"/>
      <c r="Q265" s="632"/>
      <c r="R265" s="632"/>
      <c r="S265" s="628"/>
      <c r="T265" s="628"/>
      <c r="U265" s="628"/>
      <c r="V265" s="628"/>
      <c r="W265" s="673"/>
      <c r="X265" s="673"/>
      <c r="Y265" s="673"/>
      <c r="Z265" s="673"/>
    </row>
    <row r="266" spans="1:28" ht="62.25" customHeight="1" x14ac:dyDescent="0.2">
      <c r="A266" s="627"/>
      <c r="B266" s="627"/>
      <c r="C266" s="627"/>
      <c r="D266" s="627"/>
      <c r="E266" s="627"/>
      <c r="F266" s="540"/>
      <c r="G266" s="540"/>
      <c r="H266" s="540"/>
      <c r="I266" s="722"/>
      <c r="J266" s="721"/>
      <c r="K266" s="633"/>
      <c r="L266" s="633"/>
      <c r="M266" s="633"/>
      <c r="N266" s="632"/>
      <c r="O266" s="632"/>
      <c r="P266" s="632"/>
      <c r="Q266" s="632"/>
      <c r="R266" s="632"/>
      <c r="S266" s="628"/>
      <c r="T266" s="628"/>
      <c r="U266" s="628"/>
      <c r="V266" s="628"/>
      <c r="W266" s="673"/>
      <c r="X266" s="673"/>
      <c r="Y266" s="673"/>
      <c r="Z266" s="673"/>
    </row>
    <row r="267" spans="1:28" ht="62.25" customHeight="1" x14ac:dyDescent="0.2">
      <c r="A267" s="627"/>
      <c r="B267" s="627"/>
      <c r="C267" s="627"/>
      <c r="D267" s="627"/>
      <c r="E267" s="627"/>
      <c r="F267" s="540"/>
      <c r="G267" s="540"/>
      <c r="H267" s="540"/>
      <c r="I267" s="722"/>
      <c r="J267" s="721"/>
      <c r="K267" s="633"/>
      <c r="L267" s="633"/>
      <c r="M267" s="633"/>
      <c r="N267" s="632"/>
      <c r="O267" s="632"/>
      <c r="P267" s="632"/>
      <c r="Q267" s="632"/>
      <c r="R267" s="632"/>
      <c r="S267" s="628"/>
      <c r="T267" s="628"/>
      <c r="U267" s="628"/>
      <c r="V267" s="628"/>
      <c r="W267" s="673"/>
      <c r="X267" s="673"/>
      <c r="Y267" s="673"/>
      <c r="Z267" s="673"/>
    </row>
    <row r="268" spans="1:28" ht="62.25" customHeight="1" x14ac:dyDescent="0.2">
      <c r="A268" s="627"/>
      <c r="B268" s="627"/>
      <c r="C268" s="627"/>
      <c r="D268" s="627"/>
      <c r="E268" s="627"/>
      <c r="F268" s="540"/>
      <c r="G268" s="540"/>
      <c r="H268" s="540"/>
      <c r="I268" s="722"/>
      <c r="J268" s="721"/>
      <c r="K268" s="633"/>
      <c r="L268" s="633"/>
      <c r="M268" s="633"/>
      <c r="N268" s="632"/>
      <c r="O268" s="632"/>
      <c r="P268" s="632"/>
      <c r="Q268" s="632"/>
      <c r="R268" s="632"/>
      <c r="S268" s="628"/>
      <c r="T268" s="628"/>
      <c r="U268" s="628"/>
      <c r="V268" s="628"/>
      <c r="W268" s="673"/>
      <c r="X268" s="673"/>
      <c r="Y268" s="673"/>
      <c r="Z268" s="673"/>
    </row>
    <row r="269" spans="1:28" ht="62.25" customHeight="1" x14ac:dyDescent="0.2">
      <c r="A269" s="627"/>
      <c r="B269" s="627"/>
      <c r="C269" s="627"/>
      <c r="D269" s="627"/>
      <c r="E269" s="627"/>
      <c r="F269" s="540"/>
      <c r="G269" s="540"/>
      <c r="H269" s="540"/>
      <c r="I269" s="722"/>
      <c r="J269" s="721"/>
      <c r="K269" s="633"/>
      <c r="L269" s="633"/>
      <c r="M269" s="633"/>
      <c r="N269" s="632"/>
      <c r="O269" s="632"/>
      <c r="P269" s="632"/>
      <c r="Q269" s="632"/>
      <c r="R269" s="632"/>
      <c r="S269" s="628"/>
      <c r="T269" s="628"/>
      <c r="U269" s="628"/>
      <c r="V269" s="628"/>
      <c r="W269" s="673"/>
      <c r="X269" s="673"/>
      <c r="Y269" s="673"/>
      <c r="Z269" s="673"/>
    </row>
    <row r="270" spans="1:28" ht="62.25" customHeight="1" x14ac:dyDescent="0.2">
      <c r="A270" s="627"/>
      <c r="B270" s="627"/>
      <c r="C270" s="627"/>
      <c r="D270" s="627"/>
      <c r="E270" s="627"/>
      <c r="F270" s="540"/>
      <c r="G270" s="540"/>
      <c r="H270" s="540"/>
      <c r="I270" s="722"/>
      <c r="J270" s="721"/>
      <c r="K270" s="633"/>
      <c r="L270" s="633"/>
      <c r="M270" s="633"/>
      <c r="N270" s="632"/>
      <c r="O270" s="632"/>
      <c r="P270" s="632"/>
      <c r="Q270" s="632"/>
      <c r="R270" s="632"/>
      <c r="S270" s="628"/>
      <c r="T270" s="628"/>
      <c r="U270" s="628"/>
      <c r="V270" s="628"/>
      <c r="W270" s="673"/>
      <c r="X270" s="673"/>
      <c r="Y270" s="673"/>
      <c r="Z270" s="673"/>
    </row>
    <row r="271" spans="1:28" ht="62.25" customHeight="1" x14ac:dyDescent="0.2">
      <c r="A271" s="627"/>
      <c r="B271" s="627"/>
      <c r="C271" s="627"/>
      <c r="D271" s="627"/>
      <c r="E271" s="627"/>
      <c r="F271" s="540"/>
      <c r="G271" s="540"/>
      <c r="H271" s="540"/>
      <c r="I271" s="722"/>
      <c r="J271" s="721"/>
      <c r="K271" s="633"/>
      <c r="L271" s="633"/>
      <c r="M271" s="633"/>
      <c r="N271" s="632"/>
      <c r="O271" s="632"/>
      <c r="P271" s="632"/>
      <c r="Q271" s="632"/>
      <c r="R271" s="632"/>
      <c r="S271" s="628"/>
      <c r="T271" s="628"/>
      <c r="U271" s="628"/>
      <c r="V271" s="628"/>
      <c r="W271" s="673"/>
      <c r="X271" s="673"/>
      <c r="Y271" s="673"/>
      <c r="Z271" s="673"/>
    </row>
    <row r="272" spans="1:28" ht="62.25" customHeight="1" x14ac:dyDescent="0.2">
      <c r="A272" s="627"/>
      <c r="B272" s="627"/>
      <c r="C272" s="627"/>
      <c r="D272" s="627"/>
      <c r="E272" s="627"/>
      <c r="F272" s="540"/>
      <c r="G272" s="540"/>
      <c r="H272" s="540"/>
      <c r="I272" s="722"/>
      <c r="J272" s="721"/>
      <c r="K272" s="633"/>
      <c r="L272" s="633"/>
      <c r="M272" s="633"/>
      <c r="N272" s="632"/>
      <c r="O272" s="632"/>
      <c r="P272" s="632"/>
      <c r="Q272" s="632"/>
      <c r="R272" s="632"/>
      <c r="S272" s="628"/>
      <c r="T272" s="628"/>
      <c r="U272" s="628"/>
      <c r="V272" s="628"/>
      <c r="W272" s="673"/>
      <c r="X272" s="673"/>
      <c r="Y272" s="673"/>
      <c r="Z272" s="673"/>
    </row>
    <row r="273" spans="1:26" ht="62.25" customHeight="1" x14ac:dyDescent="0.2">
      <c r="A273" s="627"/>
      <c r="B273" s="627"/>
      <c r="C273" s="627"/>
      <c r="D273" s="627"/>
      <c r="E273" s="627"/>
      <c r="F273" s="540"/>
      <c r="G273" s="540"/>
      <c r="H273" s="540"/>
      <c r="I273" s="722"/>
      <c r="J273" s="721"/>
      <c r="K273" s="633"/>
      <c r="L273" s="633"/>
      <c r="M273" s="633"/>
      <c r="N273" s="632"/>
      <c r="O273" s="632"/>
      <c r="P273" s="632"/>
      <c r="Q273" s="632"/>
      <c r="R273" s="632"/>
      <c r="S273" s="628"/>
      <c r="T273" s="628"/>
      <c r="U273" s="628"/>
      <c r="V273" s="628"/>
      <c r="W273" s="673"/>
      <c r="X273" s="673"/>
      <c r="Y273" s="673"/>
      <c r="Z273" s="673"/>
    </row>
    <row r="274" spans="1:26" ht="62.25" customHeight="1" x14ac:dyDescent="0.2">
      <c r="A274" s="627"/>
      <c r="B274" s="627"/>
      <c r="C274" s="627"/>
      <c r="D274" s="627"/>
      <c r="E274" s="627"/>
      <c r="F274" s="540"/>
      <c r="G274" s="540"/>
      <c r="H274" s="540"/>
      <c r="I274" s="722"/>
      <c r="J274" s="721"/>
      <c r="K274" s="633"/>
      <c r="L274" s="633"/>
      <c r="M274" s="633"/>
      <c r="N274" s="632"/>
      <c r="O274" s="632"/>
      <c r="P274" s="632"/>
      <c r="Q274" s="632"/>
      <c r="R274" s="632"/>
      <c r="S274" s="628"/>
      <c r="T274" s="628"/>
      <c r="U274" s="628"/>
      <c r="V274" s="628"/>
      <c r="W274" s="673"/>
      <c r="X274" s="673"/>
      <c r="Y274" s="673"/>
      <c r="Z274" s="673"/>
    </row>
    <row r="275" spans="1:26" ht="62.25" customHeight="1" x14ac:dyDescent="0.2">
      <c r="A275" s="627"/>
      <c r="B275" s="627"/>
      <c r="C275" s="627"/>
      <c r="D275" s="627"/>
      <c r="E275" s="627"/>
      <c r="F275" s="540"/>
      <c r="G275" s="540"/>
      <c r="H275" s="540"/>
      <c r="I275" s="722"/>
      <c r="J275" s="721"/>
      <c r="K275" s="633"/>
      <c r="L275" s="633"/>
      <c r="M275" s="633"/>
      <c r="N275" s="632"/>
      <c r="O275" s="632"/>
      <c r="P275" s="632"/>
      <c r="Q275" s="632"/>
      <c r="R275" s="632"/>
      <c r="S275" s="628"/>
      <c r="T275" s="628"/>
      <c r="U275" s="628"/>
      <c r="V275" s="628"/>
      <c r="W275" s="673"/>
      <c r="X275" s="673"/>
      <c r="Y275" s="673"/>
      <c r="Z275" s="673"/>
    </row>
    <row r="276" spans="1:26" ht="62.25" customHeight="1" x14ac:dyDescent="0.2">
      <c r="A276" s="627"/>
      <c r="B276" s="627"/>
      <c r="C276" s="627"/>
      <c r="D276" s="627"/>
      <c r="E276" s="627"/>
      <c r="F276" s="540"/>
      <c r="G276" s="540"/>
      <c r="H276" s="540"/>
      <c r="I276" s="722"/>
      <c r="J276" s="721"/>
      <c r="K276" s="633"/>
      <c r="L276" s="633"/>
      <c r="M276" s="633"/>
      <c r="N276" s="632"/>
      <c r="O276" s="632"/>
      <c r="P276" s="632"/>
      <c r="Q276" s="632"/>
      <c r="R276" s="632"/>
      <c r="S276" s="628"/>
      <c r="T276" s="628"/>
      <c r="U276" s="628"/>
      <c r="V276" s="628"/>
      <c r="W276" s="673"/>
      <c r="X276" s="673"/>
      <c r="Y276" s="673"/>
      <c r="Z276" s="673"/>
    </row>
    <row r="277" spans="1:26" ht="62.25" customHeight="1" x14ac:dyDescent="0.2">
      <c r="A277" s="627"/>
      <c r="B277" s="627"/>
      <c r="C277" s="627"/>
      <c r="D277" s="627"/>
      <c r="E277" s="627"/>
      <c r="F277" s="540"/>
      <c r="G277" s="540"/>
      <c r="H277" s="540"/>
      <c r="I277" s="722"/>
      <c r="J277" s="721"/>
      <c r="K277" s="633"/>
      <c r="L277" s="633"/>
      <c r="M277" s="633"/>
      <c r="N277" s="632"/>
      <c r="O277" s="632"/>
      <c r="P277" s="632"/>
      <c r="Q277" s="632"/>
      <c r="R277" s="632"/>
      <c r="S277" s="628"/>
      <c r="T277" s="628"/>
      <c r="U277" s="628"/>
      <c r="V277" s="628"/>
      <c r="W277" s="673"/>
      <c r="X277" s="673"/>
      <c r="Y277" s="673"/>
      <c r="Z277" s="673"/>
    </row>
    <row r="278" spans="1:26" ht="62.25" customHeight="1" x14ac:dyDescent="0.2">
      <c r="A278" s="627"/>
      <c r="B278" s="627"/>
      <c r="C278" s="627"/>
      <c r="D278" s="627"/>
      <c r="E278" s="627"/>
      <c r="F278" s="540"/>
      <c r="G278" s="540"/>
      <c r="H278" s="540"/>
      <c r="I278" s="722"/>
      <c r="J278" s="721"/>
      <c r="K278" s="633"/>
      <c r="L278" s="633"/>
      <c r="M278" s="633"/>
      <c r="N278" s="632"/>
      <c r="O278" s="632"/>
      <c r="P278" s="632"/>
      <c r="Q278" s="632"/>
      <c r="R278" s="632"/>
      <c r="S278" s="628"/>
      <c r="T278" s="628"/>
      <c r="U278" s="628"/>
      <c r="V278" s="628"/>
      <c r="W278" s="673"/>
      <c r="X278" s="673"/>
      <c r="Y278" s="673"/>
      <c r="Z278" s="673"/>
    </row>
    <row r="279" spans="1:26" ht="62.25" customHeight="1" x14ac:dyDescent="0.2">
      <c r="A279" s="627"/>
      <c r="B279" s="627"/>
      <c r="C279" s="627"/>
      <c r="D279" s="627"/>
      <c r="E279" s="627"/>
      <c r="F279" s="540"/>
      <c r="G279" s="540"/>
      <c r="H279" s="540"/>
      <c r="I279" s="722"/>
      <c r="J279" s="721"/>
      <c r="K279" s="633"/>
      <c r="L279" s="633"/>
      <c r="M279" s="633"/>
      <c r="N279" s="632"/>
      <c r="O279" s="632"/>
      <c r="P279" s="632"/>
      <c r="Q279" s="632"/>
      <c r="R279" s="632"/>
      <c r="S279" s="628"/>
      <c r="T279" s="628"/>
      <c r="U279" s="628"/>
      <c r="V279" s="628"/>
      <c r="W279" s="673"/>
      <c r="X279" s="673"/>
      <c r="Y279" s="673"/>
      <c r="Z279" s="673"/>
    </row>
    <row r="280" spans="1:26" ht="62.25" customHeight="1" x14ac:dyDescent="0.2">
      <c r="A280" s="627"/>
      <c r="B280" s="627"/>
      <c r="C280" s="627"/>
      <c r="D280" s="627"/>
      <c r="E280" s="627"/>
      <c r="F280" s="540"/>
      <c r="G280" s="540"/>
      <c r="H280" s="540"/>
      <c r="I280" s="722"/>
      <c r="J280" s="721"/>
      <c r="K280" s="633"/>
      <c r="L280" s="633"/>
      <c r="M280" s="633"/>
      <c r="N280" s="632"/>
      <c r="O280" s="632"/>
      <c r="P280" s="632"/>
      <c r="Q280" s="632"/>
      <c r="R280" s="632"/>
      <c r="S280" s="628"/>
      <c r="T280" s="628"/>
      <c r="U280" s="628"/>
      <c r="V280" s="628"/>
      <c r="W280" s="673"/>
      <c r="X280" s="673"/>
      <c r="Y280" s="673"/>
      <c r="Z280" s="673"/>
    </row>
    <row r="281" spans="1:26" ht="62.25" customHeight="1" x14ac:dyDescent="0.2">
      <c r="A281" s="627"/>
      <c r="B281" s="627"/>
      <c r="C281" s="627"/>
      <c r="D281" s="627"/>
      <c r="E281" s="627"/>
      <c r="F281" s="540"/>
      <c r="G281" s="540"/>
      <c r="H281" s="540"/>
      <c r="I281" s="722"/>
      <c r="J281" s="721"/>
      <c r="K281" s="633"/>
      <c r="L281" s="633"/>
      <c r="M281" s="633"/>
      <c r="N281" s="632"/>
      <c r="O281" s="632"/>
      <c r="P281" s="632"/>
      <c r="Q281" s="632"/>
      <c r="R281" s="632"/>
      <c r="S281" s="628"/>
      <c r="T281" s="628"/>
      <c r="U281" s="628"/>
      <c r="V281" s="628"/>
      <c r="W281" s="673"/>
      <c r="X281" s="673"/>
      <c r="Y281" s="673"/>
      <c r="Z281" s="673"/>
    </row>
    <row r="282" spans="1:26" ht="62.25" customHeight="1" x14ac:dyDescent="0.2">
      <c r="A282" s="627"/>
      <c r="B282" s="627"/>
      <c r="C282" s="627"/>
      <c r="D282" s="627"/>
      <c r="E282" s="627"/>
      <c r="F282" s="540"/>
      <c r="G282" s="540"/>
      <c r="H282" s="540"/>
      <c r="I282" s="722"/>
      <c r="J282" s="721"/>
      <c r="K282" s="633"/>
      <c r="L282" s="633"/>
      <c r="M282" s="633"/>
      <c r="N282" s="632"/>
      <c r="O282" s="632"/>
      <c r="P282" s="632"/>
      <c r="Q282" s="632"/>
      <c r="R282" s="632"/>
      <c r="S282" s="628"/>
      <c r="T282" s="628"/>
      <c r="U282" s="628"/>
      <c r="V282" s="628"/>
      <c r="W282" s="673"/>
      <c r="X282" s="673"/>
      <c r="Y282" s="673"/>
      <c r="Z282" s="673"/>
    </row>
    <row r="283" spans="1:26" ht="62.25" customHeight="1" x14ac:dyDescent="0.2">
      <c r="A283" s="627"/>
      <c r="B283" s="627"/>
      <c r="C283" s="627"/>
      <c r="D283" s="627"/>
      <c r="E283" s="627"/>
      <c r="F283" s="540"/>
      <c r="G283" s="540"/>
      <c r="H283" s="540"/>
      <c r="I283" s="722"/>
      <c r="J283" s="721"/>
      <c r="K283" s="633"/>
      <c r="L283" s="633"/>
      <c r="M283" s="633"/>
      <c r="N283" s="632"/>
      <c r="O283" s="632"/>
      <c r="P283" s="632"/>
      <c r="Q283" s="632"/>
      <c r="R283" s="632"/>
      <c r="S283" s="628"/>
      <c r="T283" s="628"/>
      <c r="U283" s="628"/>
      <c r="V283" s="628"/>
      <c r="W283" s="673"/>
      <c r="X283" s="673"/>
      <c r="Y283" s="673"/>
      <c r="Z283" s="673"/>
    </row>
    <row r="284" spans="1:26" ht="62.25" customHeight="1" x14ac:dyDescent="0.2">
      <c r="A284" s="627"/>
      <c r="B284" s="627"/>
      <c r="C284" s="627"/>
      <c r="D284" s="627"/>
      <c r="E284" s="627"/>
      <c r="F284" s="540"/>
      <c r="G284" s="540"/>
      <c r="H284" s="540"/>
      <c r="I284" s="722"/>
      <c r="J284" s="721"/>
      <c r="K284" s="633"/>
      <c r="L284" s="633"/>
      <c r="M284" s="633"/>
      <c r="N284" s="632"/>
      <c r="O284" s="632"/>
      <c r="P284" s="632"/>
      <c r="Q284" s="632"/>
      <c r="R284" s="632"/>
      <c r="S284" s="628"/>
      <c r="T284" s="628"/>
      <c r="U284" s="628"/>
      <c r="V284" s="628"/>
      <c r="W284" s="673"/>
      <c r="X284" s="673"/>
      <c r="Y284" s="673"/>
      <c r="Z284" s="673"/>
    </row>
    <row r="285" spans="1:26" ht="62.25" customHeight="1" x14ac:dyDescent="0.2">
      <c r="A285" s="627"/>
      <c r="B285" s="627"/>
      <c r="C285" s="627"/>
      <c r="D285" s="627"/>
      <c r="E285" s="627"/>
      <c r="F285" s="540"/>
      <c r="G285" s="540"/>
      <c r="H285" s="540"/>
      <c r="I285" s="722"/>
      <c r="J285" s="721"/>
      <c r="K285" s="633"/>
      <c r="L285" s="633"/>
      <c r="M285" s="633"/>
      <c r="N285" s="632"/>
      <c r="O285" s="632"/>
      <c r="P285" s="632"/>
      <c r="Q285" s="632"/>
      <c r="R285" s="632"/>
      <c r="S285" s="628"/>
      <c r="T285" s="628"/>
      <c r="U285" s="628"/>
      <c r="V285" s="628"/>
      <c r="W285" s="673"/>
      <c r="X285" s="673"/>
      <c r="Y285" s="673"/>
      <c r="Z285" s="673"/>
    </row>
    <row r="286" spans="1:26" ht="62.25" customHeight="1" x14ac:dyDescent="0.2">
      <c r="A286" s="627"/>
      <c r="B286" s="627"/>
      <c r="C286" s="627"/>
      <c r="D286" s="627"/>
      <c r="E286" s="627"/>
      <c r="F286" s="540"/>
      <c r="G286" s="540"/>
      <c r="H286" s="540"/>
      <c r="I286" s="722"/>
      <c r="J286" s="721"/>
      <c r="K286" s="633"/>
      <c r="L286" s="633"/>
      <c r="M286" s="633"/>
      <c r="N286" s="632"/>
      <c r="O286" s="632"/>
      <c r="P286" s="632"/>
      <c r="Q286" s="632"/>
      <c r="R286" s="632"/>
      <c r="S286" s="628"/>
      <c r="T286" s="628"/>
      <c r="U286" s="628"/>
      <c r="V286" s="628"/>
      <c r="W286" s="673"/>
      <c r="X286" s="673"/>
      <c r="Y286" s="673"/>
      <c r="Z286" s="673"/>
    </row>
    <row r="287" spans="1:26" ht="62.25" customHeight="1" x14ac:dyDescent="0.2">
      <c r="A287" s="627"/>
      <c r="B287" s="627"/>
      <c r="C287" s="627"/>
      <c r="D287" s="627"/>
      <c r="E287" s="627"/>
      <c r="F287" s="540"/>
      <c r="G287" s="540"/>
      <c r="H287" s="540"/>
      <c r="I287" s="722"/>
      <c r="J287" s="721"/>
      <c r="K287" s="633"/>
      <c r="L287" s="633"/>
      <c r="M287" s="633"/>
      <c r="N287" s="632"/>
      <c r="O287" s="632"/>
      <c r="P287" s="632"/>
      <c r="Q287" s="632"/>
      <c r="R287" s="632"/>
      <c r="S287" s="628"/>
      <c r="T287" s="628"/>
      <c r="U287" s="628"/>
      <c r="V287" s="628"/>
      <c r="W287" s="673"/>
      <c r="X287" s="673"/>
      <c r="Y287" s="673"/>
      <c r="Z287" s="673"/>
    </row>
    <row r="288" spans="1:26" ht="62.25" customHeight="1" x14ac:dyDescent="0.2">
      <c r="A288" s="627"/>
      <c r="B288" s="627"/>
      <c r="C288" s="627"/>
      <c r="D288" s="627"/>
      <c r="E288" s="627"/>
      <c r="F288" s="540"/>
      <c r="G288" s="540"/>
      <c r="H288" s="540"/>
      <c r="I288" s="722"/>
      <c r="J288" s="721"/>
      <c r="K288" s="633"/>
      <c r="L288" s="633"/>
      <c r="M288" s="633"/>
      <c r="N288" s="632"/>
      <c r="O288" s="632"/>
      <c r="P288" s="632"/>
      <c r="Q288" s="632"/>
      <c r="R288" s="632"/>
      <c r="S288" s="628"/>
      <c r="T288" s="628"/>
      <c r="U288" s="628"/>
      <c r="V288" s="628"/>
      <c r="W288" s="673"/>
      <c r="X288" s="673"/>
      <c r="Y288" s="673"/>
      <c r="Z288" s="673"/>
    </row>
    <row r="289" spans="1:26" ht="62.25" customHeight="1" x14ac:dyDescent="0.2">
      <c r="A289" s="627"/>
      <c r="B289" s="627"/>
      <c r="C289" s="627"/>
      <c r="D289" s="627"/>
      <c r="E289" s="627"/>
      <c r="F289" s="540"/>
      <c r="G289" s="540"/>
      <c r="H289" s="540"/>
      <c r="I289" s="722"/>
      <c r="J289" s="721"/>
      <c r="K289" s="633"/>
      <c r="L289" s="633"/>
      <c r="M289" s="633"/>
      <c r="N289" s="632"/>
      <c r="O289" s="632"/>
      <c r="P289" s="632"/>
      <c r="Q289" s="632"/>
      <c r="R289" s="632"/>
      <c r="S289" s="628"/>
      <c r="T289" s="628"/>
      <c r="U289" s="628"/>
      <c r="V289" s="628"/>
      <c r="W289" s="673"/>
      <c r="X289" s="673"/>
      <c r="Y289" s="673"/>
      <c r="Z289" s="673"/>
    </row>
    <row r="290" spans="1:26" ht="62.25" customHeight="1" x14ac:dyDescent="0.2">
      <c r="A290" s="627"/>
      <c r="B290" s="627"/>
      <c r="C290" s="627"/>
      <c r="D290" s="627"/>
      <c r="E290" s="627"/>
      <c r="F290" s="540"/>
      <c r="G290" s="540"/>
      <c r="H290" s="540"/>
      <c r="I290" s="722"/>
      <c r="J290" s="721"/>
      <c r="K290" s="633"/>
      <c r="L290" s="633"/>
      <c r="M290" s="633"/>
      <c r="N290" s="632"/>
      <c r="O290" s="632"/>
      <c r="P290" s="632"/>
      <c r="Q290" s="632"/>
      <c r="R290" s="632"/>
      <c r="S290" s="628"/>
      <c r="T290" s="628"/>
      <c r="U290" s="628"/>
      <c r="V290" s="628"/>
      <c r="W290" s="673"/>
      <c r="X290" s="673"/>
      <c r="Y290" s="673"/>
      <c r="Z290" s="673"/>
    </row>
    <row r="291" spans="1:26" ht="62.25" customHeight="1" x14ac:dyDescent="0.2">
      <c r="A291" s="627"/>
      <c r="B291" s="627"/>
      <c r="C291" s="627"/>
      <c r="D291" s="627"/>
      <c r="E291" s="627"/>
      <c r="F291" s="540"/>
      <c r="G291" s="540"/>
      <c r="H291" s="540"/>
      <c r="I291" s="722"/>
      <c r="J291" s="721"/>
      <c r="K291" s="633"/>
      <c r="L291" s="633"/>
      <c r="M291" s="633"/>
      <c r="N291" s="632"/>
      <c r="O291" s="632"/>
      <c r="P291" s="632"/>
      <c r="Q291" s="632"/>
      <c r="R291" s="632"/>
      <c r="S291" s="628"/>
      <c r="T291" s="628"/>
      <c r="U291" s="628"/>
      <c r="V291" s="628"/>
      <c r="W291" s="673"/>
      <c r="X291" s="673"/>
      <c r="Y291" s="673"/>
      <c r="Z291" s="673"/>
    </row>
    <row r="292" spans="1:26" ht="62.25" customHeight="1" x14ac:dyDescent="0.2">
      <c r="A292" s="627"/>
      <c r="B292" s="627"/>
      <c r="C292" s="627"/>
      <c r="D292" s="627"/>
      <c r="E292" s="627"/>
      <c r="F292" s="540"/>
      <c r="G292" s="540"/>
      <c r="H292" s="540"/>
      <c r="I292" s="722"/>
      <c r="J292" s="721"/>
      <c r="K292" s="633"/>
      <c r="L292" s="633"/>
      <c r="M292" s="633"/>
      <c r="N292" s="632"/>
      <c r="O292" s="632"/>
      <c r="P292" s="632"/>
      <c r="Q292" s="632"/>
      <c r="R292" s="632"/>
      <c r="S292" s="628"/>
      <c r="T292" s="628"/>
      <c r="U292" s="628"/>
      <c r="V292" s="628"/>
      <c r="W292" s="673"/>
      <c r="X292" s="673"/>
      <c r="Y292" s="673"/>
      <c r="Z292" s="673"/>
    </row>
    <row r="293" spans="1:26" ht="62.25" customHeight="1" x14ac:dyDescent="0.2">
      <c r="A293" s="627"/>
      <c r="B293" s="627"/>
      <c r="C293" s="627"/>
      <c r="D293" s="627"/>
      <c r="E293" s="627"/>
      <c r="F293" s="540"/>
      <c r="G293" s="540"/>
      <c r="H293" s="540"/>
      <c r="I293" s="722"/>
      <c r="J293" s="721"/>
      <c r="K293" s="633"/>
      <c r="L293" s="633"/>
      <c r="M293" s="633"/>
      <c r="N293" s="632"/>
      <c r="O293" s="632"/>
      <c r="P293" s="632"/>
      <c r="Q293" s="632"/>
      <c r="R293" s="632"/>
      <c r="S293" s="628"/>
      <c r="T293" s="628"/>
      <c r="U293" s="628"/>
      <c r="V293" s="628"/>
      <c r="W293" s="673"/>
      <c r="X293" s="673"/>
      <c r="Y293" s="673"/>
      <c r="Z293" s="673"/>
    </row>
    <row r="294" spans="1:26" ht="62.25" customHeight="1" x14ac:dyDescent="0.2">
      <c r="A294" s="627"/>
      <c r="B294" s="627"/>
      <c r="C294" s="627"/>
      <c r="D294" s="627"/>
      <c r="E294" s="627"/>
      <c r="F294" s="540"/>
      <c r="G294" s="540"/>
      <c r="H294" s="540"/>
      <c r="I294" s="722"/>
      <c r="J294" s="721"/>
      <c r="K294" s="633"/>
      <c r="L294" s="633"/>
      <c r="M294" s="633"/>
      <c r="N294" s="632"/>
      <c r="O294" s="632"/>
      <c r="P294" s="632"/>
      <c r="Q294" s="632"/>
      <c r="R294" s="632"/>
      <c r="S294" s="628"/>
      <c r="T294" s="628"/>
      <c r="U294" s="628"/>
      <c r="V294" s="628"/>
      <c r="W294" s="673"/>
      <c r="X294" s="673"/>
      <c r="Y294" s="673"/>
      <c r="Z294" s="673"/>
    </row>
    <row r="295" spans="1:26" ht="62.25" customHeight="1" x14ac:dyDescent="0.2">
      <c r="A295" s="627"/>
      <c r="B295" s="627"/>
      <c r="C295" s="627"/>
      <c r="D295" s="627"/>
      <c r="E295" s="627"/>
      <c r="F295" s="540"/>
      <c r="G295" s="540"/>
      <c r="H295" s="540"/>
      <c r="I295" s="722"/>
      <c r="J295" s="721"/>
      <c r="K295" s="633"/>
      <c r="L295" s="633"/>
      <c r="M295" s="633"/>
      <c r="N295" s="632"/>
      <c r="O295" s="632"/>
      <c r="P295" s="632"/>
      <c r="Q295" s="632"/>
      <c r="R295" s="632"/>
      <c r="S295" s="628"/>
      <c r="T295" s="628"/>
      <c r="U295" s="628"/>
      <c r="V295" s="628"/>
      <c r="W295" s="673"/>
      <c r="X295" s="673"/>
      <c r="Y295" s="673"/>
      <c r="Z295" s="673"/>
    </row>
    <row r="296" spans="1:26" ht="62.25" customHeight="1" x14ac:dyDescent="0.2">
      <c r="A296" s="627"/>
      <c r="B296" s="627"/>
      <c r="C296" s="627"/>
      <c r="D296" s="627"/>
      <c r="E296" s="627"/>
      <c r="F296" s="540"/>
      <c r="G296" s="540"/>
      <c r="H296" s="540"/>
      <c r="I296" s="722"/>
      <c r="J296" s="721"/>
      <c r="K296" s="633"/>
      <c r="L296" s="633"/>
      <c r="M296" s="633"/>
      <c r="N296" s="632"/>
      <c r="O296" s="632"/>
      <c r="P296" s="632"/>
      <c r="Q296" s="632"/>
      <c r="R296" s="632"/>
      <c r="S296" s="628"/>
      <c r="T296" s="628"/>
      <c r="U296" s="628"/>
      <c r="V296" s="628"/>
      <c r="W296" s="673"/>
      <c r="X296" s="673"/>
      <c r="Y296" s="673"/>
      <c r="Z296" s="673"/>
    </row>
    <row r="297" spans="1:26" ht="62.25" customHeight="1" x14ac:dyDescent="0.2">
      <c r="A297" s="627"/>
      <c r="B297" s="627"/>
      <c r="C297" s="627"/>
      <c r="D297" s="627"/>
      <c r="E297" s="627"/>
      <c r="F297" s="540"/>
      <c r="G297" s="540"/>
      <c r="H297" s="540"/>
      <c r="I297" s="722"/>
      <c r="J297" s="721"/>
      <c r="K297" s="633"/>
      <c r="L297" s="633"/>
      <c r="M297" s="633"/>
      <c r="N297" s="632"/>
      <c r="O297" s="632"/>
      <c r="P297" s="632"/>
      <c r="Q297" s="632"/>
      <c r="R297" s="632"/>
      <c r="S297" s="628"/>
      <c r="T297" s="628"/>
      <c r="U297" s="628"/>
      <c r="V297" s="628"/>
      <c r="W297" s="673"/>
      <c r="X297" s="673"/>
      <c r="Y297" s="673"/>
      <c r="Z297" s="673"/>
    </row>
    <row r="298" spans="1:26" ht="62.25" customHeight="1" x14ac:dyDescent="0.2">
      <c r="A298" s="627"/>
      <c r="B298" s="627"/>
      <c r="C298" s="627"/>
      <c r="D298" s="627"/>
      <c r="E298" s="627"/>
      <c r="F298" s="540"/>
      <c r="G298" s="540"/>
      <c r="H298" s="540"/>
      <c r="I298" s="722"/>
      <c r="J298" s="721"/>
      <c r="K298" s="633"/>
      <c r="L298" s="633"/>
      <c r="M298" s="633"/>
      <c r="N298" s="632"/>
      <c r="O298" s="632"/>
      <c r="P298" s="632"/>
      <c r="Q298" s="632"/>
      <c r="R298" s="632"/>
      <c r="S298" s="628"/>
      <c r="T298" s="628"/>
      <c r="U298" s="628"/>
      <c r="V298" s="628"/>
      <c r="W298" s="673"/>
      <c r="X298" s="673"/>
      <c r="Y298" s="673"/>
      <c r="Z298" s="673"/>
    </row>
    <row r="299" spans="1:26" ht="62.25" customHeight="1" x14ac:dyDescent="0.2">
      <c r="A299" s="627"/>
      <c r="B299" s="627"/>
      <c r="C299" s="627"/>
      <c r="D299" s="627"/>
      <c r="E299" s="627"/>
      <c r="F299" s="540"/>
      <c r="G299" s="540"/>
      <c r="H299" s="540"/>
      <c r="I299" s="722"/>
      <c r="J299" s="721"/>
      <c r="K299" s="633"/>
      <c r="L299" s="633"/>
      <c r="M299" s="633"/>
      <c r="N299" s="632"/>
      <c r="O299" s="632"/>
      <c r="P299" s="632"/>
      <c r="Q299" s="632"/>
      <c r="R299" s="632"/>
      <c r="S299" s="628"/>
      <c r="T299" s="628"/>
      <c r="U299" s="628"/>
      <c r="V299" s="628"/>
      <c r="W299" s="673"/>
      <c r="X299" s="673"/>
      <c r="Y299" s="673"/>
      <c r="Z299" s="673"/>
    </row>
    <row r="300" spans="1:26" ht="62.25" customHeight="1" x14ac:dyDescent="0.2">
      <c r="A300" s="627"/>
      <c r="B300" s="627"/>
      <c r="C300" s="627"/>
      <c r="D300" s="627"/>
      <c r="E300" s="627"/>
      <c r="F300" s="540"/>
      <c r="G300" s="540"/>
      <c r="H300" s="540"/>
      <c r="I300" s="722"/>
      <c r="J300" s="721"/>
      <c r="K300" s="633"/>
      <c r="L300" s="633"/>
      <c r="M300" s="633"/>
      <c r="N300" s="632"/>
      <c r="O300" s="632"/>
      <c r="P300" s="632"/>
      <c r="Q300" s="632"/>
      <c r="R300" s="632"/>
      <c r="S300" s="628"/>
      <c r="T300" s="628"/>
      <c r="U300" s="628"/>
      <c r="V300" s="628"/>
      <c r="W300" s="673"/>
      <c r="X300" s="673"/>
      <c r="Y300" s="673"/>
      <c r="Z300" s="673"/>
    </row>
    <row r="301" spans="1:26" ht="62.25" customHeight="1" x14ac:dyDescent="0.2">
      <c r="A301" s="627"/>
      <c r="B301" s="627"/>
      <c r="C301" s="627"/>
      <c r="D301" s="627"/>
      <c r="E301" s="627"/>
      <c r="F301" s="540"/>
      <c r="G301" s="540"/>
      <c r="H301" s="540"/>
      <c r="I301" s="722"/>
      <c r="J301" s="721"/>
      <c r="K301" s="633"/>
      <c r="L301" s="633"/>
      <c r="M301" s="633"/>
      <c r="N301" s="632"/>
      <c r="O301" s="632"/>
      <c r="P301" s="632"/>
      <c r="Q301" s="632"/>
      <c r="R301" s="632"/>
      <c r="S301" s="628"/>
      <c r="T301" s="628"/>
      <c r="U301" s="628"/>
      <c r="V301" s="628"/>
      <c r="W301" s="673"/>
      <c r="X301" s="673"/>
      <c r="Y301" s="673"/>
      <c r="Z301" s="673"/>
    </row>
    <row r="302" spans="1:26" ht="62.25" customHeight="1" x14ac:dyDescent="0.2">
      <c r="A302" s="627"/>
      <c r="B302" s="627"/>
      <c r="C302" s="627"/>
      <c r="D302" s="627"/>
      <c r="E302" s="627"/>
      <c r="F302" s="540"/>
      <c r="G302" s="540"/>
      <c r="H302" s="540"/>
      <c r="I302" s="722"/>
      <c r="J302" s="721"/>
      <c r="K302" s="633"/>
      <c r="L302" s="633"/>
      <c r="M302" s="633"/>
      <c r="N302" s="632"/>
      <c r="O302" s="632"/>
      <c r="P302" s="632"/>
      <c r="Q302" s="632"/>
      <c r="R302" s="632"/>
      <c r="S302" s="628"/>
      <c r="T302" s="628"/>
      <c r="U302" s="628"/>
      <c r="V302" s="628"/>
      <c r="W302" s="673"/>
      <c r="X302" s="673"/>
      <c r="Y302" s="673"/>
      <c r="Z302" s="673"/>
    </row>
    <row r="303" spans="1:26" ht="62.25" customHeight="1" x14ac:dyDescent="0.2">
      <c r="A303" s="627"/>
      <c r="B303" s="627"/>
      <c r="C303" s="627"/>
      <c r="D303" s="627"/>
      <c r="E303" s="627"/>
      <c r="F303" s="540"/>
      <c r="G303" s="540"/>
      <c r="H303" s="540"/>
      <c r="I303" s="722"/>
      <c r="J303" s="721"/>
      <c r="K303" s="633"/>
      <c r="L303" s="633"/>
      <c r="M303" s="633"/>
      <c r="N303" s="632"/>
      <c r="O303" s="632"/>
      <c r="P303" s="632"/>
      <c r="Q303" s="632"/>
      <c r="R303" s="632"/>
      <c r="S303" s="628"/>
      <c r="T303" s="628"/>
      <c r="U303" s="628"/>
      <c r="V303" s="628"/>
      <c r="W303" s="673"/>
      <c r="X303" s="673"/>
      <c r="Y303" s="673"/>
      <c r="Z303" s="673"/>
    </row>
    <row r="304" spans="1:26" ht="62.25" customHeight="1" x14ac:dyDescent="0.2">
      <c r="A304" s="627"/>
      <c r="B304" s="627"/>
      <c r="C304" s="627"/>
      <c r="D304" s="627"/>
      <c r="E304" s="627"/>
      <c r="F304" s="540"/>
      <c r="G304" s="540"/>
      <c r="H304" s="540"/>
      <c r="I304" s="722"/>
      <c r="J304" s="721"/>
      <c r="K304" s="633"/>
      <c r="L304" s="633"/>
      <c r="M304" s="633"/>
      <c r="N304" s="632"/>
      <c r="O304" s="632"/>
      <c r="P304" s="632"/>
      <c r="Q304" s="632"/>
      <c r="R304" s="632"/>
      <c r="S304" s="628"/>
      <c r="T304" s="628"/>
      <c r="U304" s="628"/>
      <c r="V304" s="628"/>
      <c r="W304" s="673"/>
      <c r="X304" s="673"/>
      <c r="Y304" s="673"/>
      <c r="Z304" s="673"/>
    </row>
    <row r="305" spans="1:26" ht="62.25" customHeight="1" x14ac:dyDescent="0.2">
      <c r="A305" s="627"/>
      <c r="B305" s="627"/>
      <c r="C305" s="627"/>
      <c r="D305" s="627"/>
      <c r="E305" s="627"/>
      <c r="F305" s="540"/>
      <c r="G305" s="540"/>
      <c r="H305" s="540"/>
      <c r="I305" s="722"/>
      <c r="J305" s="721"/>
      <c r="K305" s="633"/>
      <c r="L305" s="633"/>
      <c r="M305" s="633"/>
      <c r="N305" s="632"/>
      <c r="O305" s="632"/>
      <c r="P305" s="632"/>
      <c r="Q305" s="632"/>
      <c r="R305" s="632"/>
      <c r="S305" s="628"/>
      <c r="T305" s="628"/>
      <c r="U305" s="628"/>
      <c r="V305" s="628"/>
      <c r="W305" s="673"/>
      <c r="X305" s="673"/>
      <c r="Y305" s="673"/>
      <c r="Z305" s="673"/>
    </row>
    <row r="306" spans="1:26" ht="62.25" customHeight="1" x14ac:dyDescent="0.2">
      <c r="A306" s="627"/>
      <c r="B306" s="627"/>
      <c r="C306" s="627"/>
      <c r="D306" s="627"/>
      <c r="E306" s="627"/>
      <c r="F306" s="540"/>
      <c r="G306" s="540"/>
      <c r="H306" s="540"/>
      <c r="I306" s="722"/>
      <c r="J306" s="721"/>
      <c r="K306" s="633"/>
      <c r="L306" s="633"/>
      <c r="M306" s="633"/>
      <c r="N306" s="632"/>
      <c r="O306" s="632"/>
      <c r="P306" s="632"/>
      <c r="Q306" s="632"/>
      <c r="R306" s="632"/>
      <c r="S306" s="628"/>
      <c r="T306" s="628"/>
      <c r="U306" s="628"/>
      <c r="V306" s="628"/>
      <c r="W306" s="673"/>
      <c r="X306" s="673"/>
      <c r="Y306" s="673"/>
      <c r="Z306" s="673"/>
    </row>
    <row r="307" spans="1:26" ht="62.25" customHeight="1" x14ac:dyDescent="0.2">
      <c r="A307" s="627"/>
      <c r="B307" s="627"/>
      <c r="C307" s="627"/>
      <c r="D307" s="627"/>
      <c r="E307" s="627"/>
      <c r="F307" s="540"/>
      <c r="G307" s="540"/>
      <c r="H307" s="540"/>
      <c r="I307" s="722"/>
      <c r="J307" s="721"/>
      <c r="K307" s="633"/>
      <c r="L307" s="633"/>
      <c r="M307" s="633"/>
      <c r="N307" s="632"/>
      <c r="O307" s="632"/>
      <c r="P307" s="632"/>
      <c r="Q307" s="632"/>
      <c r="R307" s="632"/>
      <c r="S307" s="628"/>
      <c r="T307" s="628"/>
      <c r="U307" s="628"/>
      <c r="V307" s="628"/>
      <c r="W307" s="673"/>
      <c r="X307" s="673"/>
      <c r="Y307" s="673"/>
      <c r="Z307" s="673"/>
    </row>
    <row r="308" spans="1:26" ht="62.25" customHeight="1" x14ac:dyDescent="0.2">
      <c r="A308" s="627"/>
      <c r="B308" s="627"/>
      <c r="C308" s="627"/>
      <c r="D308" s="627"/>
      <c r="E308" s="627"/>
      <c r="F308" s="540"/>
      <c r="G308" s="540"/>
      <c r="H308" s="540"/>
      <c r="I308" s="722"/>
      <c r="J308" s="721"/>
      <c r="K308" s="633"/>
      <c r="L308" s="633"/>
      <c r="M308" s="633"/>
      <c r="N308" s="632"/>
      <c r="O308" s="632"/>
      <c r="P308" s="632"/>
      <c r="Q308" s="632"/>
      <c r="R308" s="632"/>
      <c r="S308" s="628"/>
      <c r="T308" s="628"/>
      <c r="U308" s="628"/>
      <c r="V308" s="628"/>
      <c r="W308" s="673"/>
      <c r="X308" s="673"/>
      <c r="Y308" s="673"/>
      <c r="Z308" s="673"/>
    </row>
    <row r="309" spans="1:26" ht="62.25" customHeight="1" x14ac:dyDescent="0.2">
      <c r="A309" s="627"/>
      <c r="B309" s="627"/>
      <c r="C309" s="627"/>
      <c r="D309" s="627"/>
      <c r="E309" s="627"/>
      <c r="F309" s="540"/>
      <c r="G309" s="540"/>
      <c r="H309" s="540"/>
      <c r="I309" s="722"/>
      <c r="J309" s="721"/>
      <c r="K309" s="633"/>
      <c r="L309" s="633"/>
      <c r="M309" s="633"/>
      <c r="N309" s="632"/>
      <c r="O309" s="632"/>
      <c r="P309" s="632"/>
      <c r="Q309" s="632"/>
      <c r="R309" s="632"/>
      <c r="S309" s="628"/>
      <c r="T309" s="628"/>
      <c r="U309" s="628"/>
      <c r="V309" s="628"/>
      <c r="W309" s="673"/>
      <c r="X309" s="673"/>
      <c r="Y309" s="673"/>
      <c r="Z309" s="673"/>
    </row>
    <row r="310" spans="1:26" ht="62.25" customHeight="1" x14ac:dyDescent="0.2">
      <c r="A310" s="627"/>
      <c r="B310" s="627"/>
      <c r="C310" s="627"/>
      <c r="D310" s="627"/>
      <c r="E310" s="627"/>
      <c r="F310" s="540"/>
      <c r="G310" s="540"/>
      <c r="H310" s="540"/>
      <c r="I310" s="722"/>
      <c r="J310" s="721"/>
      <c r="K310" s="633"/>
      <c r="L310" s="633"/>
      <c r="M310" s="633"/>
      <c r="N310" s="632"/>
      <c r="O310" s="632"/>
      <c r="P310" s="632"/>
      <c r="Q310" s="632"/>
      <c r="R310" s="632"/>
      <c r="S310" s="628"/>
      <c r="T310" s="628"/>
      <c r="U310" s="628"/>
      <c r="V310" s="628"/>
      <c r="W310" s="673"/>
      <c r="X310" s="673"/>
      <c r="Y310" s="673"/>
      <c r="Z310" s="673"/>
    </row>
    <row r="311" spans="1:26" ht="62.25" customHeight="1" x14ac:dyDescent="0.2">
      <c r="A311" s="627"/>
      <c r="B311" s="627"/>
      <c r="C311" s="627"/>
      <c r="D311" s="627"/>
      <c r="E311" s="627"/>
      <c r="F311" s="540"/>
      <c r="G311" s="540"/>
      <c r="H311" s="540"/>
      <c r="I311" s="722"/>
      <c r="J311" s="721"/>
      <c r="K311" s="633"/>
      <c r="L311" s="633"/>
      <c r="M311" s="633"/>
      <c r="N311" s="632"/>
      <c r="O311" s="632"/>
      <c r="P311" s="632"/>
      <c r="Q311" s="632"/>
      <c r="R311" s="632"/>
      <c r="S311" s="628"/>
      <c r="T311" s="628"/>
      <c r="U311" s="628"/>
      <c r="V311" s="628"/>
      <c r="W311" s="673"/>
      <c r="X311" s="673"/>
      <c r="Y311" s="673"/>
      <c r="Z311" s="673"/>
    </row>
    <row r="312" spans="1:26" ht="62.25" customHeight="1" x14ac:dyDescent="0.2">
      <c r="A312" s="627"/>
      <c r="B312" s="627"/>
      <c r="C312" s="627"/>
      <c r="D312" s="627"/>
      <c r="E312" s="627"/>
      <c r="F312" s="540"/>
      <c r="G312" s="540"/>
      <c r="H312" s="540"/>
      <c r="I312" s="722"/>
      <c r="J312" s="721"/>
      <c r="K312" s="633"/>
      <c r="L312" s="633"/>
      <c r="M312" s="633"/>
      <c r="N312" s="632"/>
      <c r="O312" s="632"/>
      <c r="P312" s="632"/>
      <c r="Q312" s="632"/>
      <c r="R312" s="632"/>
      <c r="S312" s="628"/>
      <c r="T312" s="628"/>
      <c r="U312" s="628"/>
      <c r="V312" s="628"/>
      <c r="W312" s="673"/>
      <c r="X312" s="673"/>
      <c r="Y312" s="673"/>
      <c r="Z312" s="673"/>
    </row>
    <row r="313" spans="1:26" ht="62.25" customHeight="1" x14ac:dyDescent="0.2">
      <c r="A313" s="627"/>
      <c r="B313" s="627"/>
      <c r="C313" s="627"/>
      <c r="D313" s="627"/>
      <c r="E313" s="627"/>
      <c r="F313" s="540"/>
      <c r="G313" s="540"/>
      <c r="H313" s="540"/>
      <c r="I313" s="722"/>
      <c r="J313" s="721"/>
      <c r="K313" s="633"/>
      <c r="L313" s="633"/>
      <c r="M313" s="633"/>
      <c r="N313" s="632"/>
      <c r="O313" s="632"/>
      <c r="P313" s="632"/>
      <c r="Q313" s="632"/>
      <c r="R313" s="632"/>
      <c r="S313" s="628"/>
      <c r="T313" s="628"/>
      <c r="U313" s="628"/>
      <c r="V313" s="628"/>
      <c r="W313" s="673"/>
      <c r="X313" s="673"/>
      <c r="Y313" s="673"/>
      <c r="Z313" s="673"/>
    </row>
    <row r="314" spans="1:26" ht="62.25" customHeight="1" x14ac:dyDescent="0.2">
      <c r="A314" s="627"/>
      <c r="B314" s="627"/>
      <c r="C314" s="627"/>
      <c r="D314" s="627"/>
      <c r="E314" s="627"/>
      <c r="F314" s="540"/>
      <c r="G314" s="540"/>
      <c r="H314" s="540"/>
      <c r="I314" s="722"/>
      <c r="J314" s="721"/>
      <c r="K314" s="633"/>
      <c r="L314" s="633"/>
      <c r="M314" s="633"/>
      <c r="N314" s="632"/>
      <c r="O314" s="632"/>
      <c r="P314" s="632"/>
      <c r="Q314" s="632"/>
      <c r="R314" s="632"/>
      <c r="S314" s="628"/>
      <c r="T314" s="628"/>
      <c r="U314" s="628"/>
      <c r="V314" s="628"/>
      <c r="W314" s="673"/>
      <c r="X314" s="673"/>
      <c r="Y314" s="673"/>
      <c r="Z314" s="673"/>
    </row>
    <row r="315" spans="1:26" ht="62.25" customHeight="1" x14ac:dyDescent="0.2">
      <c r="A315" s="627"/>
      <c r="B315" s="627"/>
      <c r="C315" s="627"/>
      <c r="D315" s="627"/>
      <c r="E315" s="627"/>
      <c r="F315" s="540"/>
      <c r="G315" s="540"/>
      <c r="H315" s="540"/>
      <c r="I315" s="722"/>
      <c r="J315" s="721"/>
      <c r="K315" s="633"/>
      <c r="L315" s="633"/>
      <c r="M315" s="633"/>
      <c r="N315" s="632"/>
      <c r="O315" s="632"/>
      <c r="P315" s="632"/>
      <c r="Q315" s="632"/>
      <c r="R315" s="632"/>
      <c r="S315" s="628"/>
      <c r="T315" s="628"/>
      <c r="U315" s="628"/>
      <c r="V315" s="628"/>
      <c r="W315" s="673"/>
      <c r="X315" s="673"/>
      <c r="Y315" s="673"/>
      <c r="Z315" s="673"/>
    </row>
    <row r="316" spans="1:26" ht="62.25" customHeight="1" x14ac:dyDescent="0.2">
      <c r="A316" s="627"/>
      <c r="B316" s="627"/>
      <c r="C316" s="627"/>
      <c r="D316" s="627"/>
      <c r="E316" s="627"/>
      <c r="F316" s="540"/>
      <c r="G316" s="540"/>
      <c r="H316" s="540"/>
      <c r="I316" s="722"/>
      <c r="J316" s="721"/>
      <c r="K316" s="633"/>
      <c r="L316" s="633"/>
      <c r="M316" s="633"/>
      <c r="N316" s="632"/>
      <c r="O316" s="632"/>
      <c r="P316" s="632"/>
      <c r="Q316" s="632"/>
      <c r="R316" s="632"/>
      <c r="S316" s="628"/>
      <c r="T316" s="628"/>
      <c r="U316" s="628"/>
      <c r="V316" s="628"/>
      <c r="W316" s="673"/>
      <c r="X316" s="673"/>
      <c r="Y316" s="673"/>
      <c r="Z316" s="673"/>
    </row>
    <row r="317" spans="1:26" ht="62.25" customHeight="1" x14ac:dyDescent="0.2">
      <c r="A317" s="627"/>
      <c r="B317" s="627"/>
      <c r="C317" s="627"/>
      <c r="D317" s="627"/>
      <c r="E317" s="627"/>
      <c r="F317" s="540"/>
      <c r="G317" s="540"/>
      <c r="H317" s="540"/>
      <c r="I317" s="722"/>
      <c r="J317" s="721"/>
      <c r="K317" s="633"/>
      <c r="L317" s="633"/>
      <c r="M317" s="633"/>
      <c r="N317" s="632"/>
      <c r="O317" s="632"/>
      <c r="P317" s="632"/>
      <c r="Q317" s="632"/>
      <c r="R317" s="632"/>
      <c r="S317" s="628"/>
      <c r="T317" s="628"/>
      <c r="U317" s="628"/>
      <c r="V317" s="628"/>
      <c r="W317" s="673"/>
      <c r="X317" s="673"/>
      <c r="Y317" s="673"/>
      <c r="Z317" s="673"/>
    </row>
    <row r="318" spans="1:26" ht="62.25" customHeight="1" x14ac:dyDescent="0.2">
      <c r="A318" s="627"/>
      <c r="B318" s="627"/>
      <c r="C318" s="627"/>
      <c r="D318" s="627"/>
      <c r="E318" s="627"/>
      <c r="F318" s="540"/>
      <c r="G318" s="540"/>
      <c r="H318" s="540"/>
      <c r="I318" s="722"/>
      <c r="J318" s="721"/>
      <c r="K318" s="633"/>
      <c r="L318" s="633"/>
      <c r="M318" s="633"/>
      <c r="N318" s="632"/>
      <c r="O318" s="632"/>
      <c r="P318" s="632"/>
      <c r="Q318" s="632"/>
      <c r="R318" s="632"/>
      <c r="S318" s="628"/>
      <c r="T318" s="628"/>
      <c r="U318" s="628"/>
      <c r="V318" s="628"/>
      <c r="W318" s="673"/>
      <c r="X318" s="673"/>
      <c r="Y318" s="673"/>
      <c r="Z318" s="673"/>
    </row>
    <row r="319" spans="1:26" ht="62.25" customHeight="1" x14ac:dyDescent="0.2">
      <c r="A319" s="627"/>
      <c r="B319" s="627"/>
      <c r="C319" s="627"/>
      <c r="D319" s="627"/>
      <c r="E319" s="627"/>
      <c r="F319" s="540"/>
      <c r="G319" s="540"/>
      <c r="H319" s="540"/>
      <c r="I319" s="722"/>
      <c r="J319" s="721"/>
      <c r="K319" s="633"/>
      <c r="L319" s="633"/>
      <c r="M319" s="633"/>
      <c r="N319" s="632"/>
      <c r="O319" s="632"/>
      <c r="P319" s="632"/>
      <c r="Q319" s="632"/>
      <c r="R319" s="632"/>
      <c r="S319" s="628"/>
      <c r="T319" s="628"/>
      <c r="U319" s="628"/>
      <c r="V319" s="628"/>
      <c r="W319" s="673"/>
      <c r="X319" s="673"/>
      <c r="Y319" s="673"/>
      <c r="Z319" s="673"/>
    </row>
    <row r="320" spans="1:26" ht="62.25" customHeight="1" x14ac:dyDescent="0.2">
      <c r="A320" s="627"/>
      <c r="B320" s="627"/>
      <c r="C320" s="627"/>
      <c r="D320" s="627"/>
      <c r="E320" s="627"/>
      <c r="F320" s="540"/>
      <c r="G320" s="540"/>
      <c r="H320" s="540"/>
      <c r="I320" s="722"/>
      <c r="J320" s="721"/>
      <c r="K320" s="633"/>
      <c r="L320" s="633"/>
      <c r="M320" s="633"/>
      <c r="N320" s="632"/>
      <c r="O320" s="632"/>
      <c r="P320" s="632"/>
      <c r="Q320" s="632"/>
      <c r="R320" s="632"/>
      <c r="S320" s="628"/>
      <c r="T320" s="628"/>
      <c r="U320" s="628"/>
      <c r="V320" s="628"/>
      <c r="W320" s="673"/>
      <c r="X320" s="673"/>
      <c r="Y320" s="673"/>
      <c r="Z320" s="673"/>
    </row>
    <row r="321" spans="1:26" ht="62.25" customHeight="1" x14ac:dyDescent="0.2">
      <c r="A321" s="627"/>
      <c r="B321" s="627"/>
      <c r="C321" s="627"/>
      <c r="D321" s="627"/>
      <c r="E321" s="627"/>
      <c r="F321" s="540"/>
      <c r="G321" s="540"/>
      <c r="H321" s="540"/>
      <c r="I321" s="722"/>
      <c r="J321" s="721"/>
      <c r="K321" s="633"/>
      <c r="L321" s="633"/>
      <c r="M321" s="633"/>
      <c r="N321" s="632"/>
      <c r="O321" s="632"/>
      <c r="P321" s="632"/>
      <c r="Q321" s="632"/>
      <c r="R321" s="632"/>
      <c r="S321" s="628"/>
      <c r="T321" s="628"/>
      <c r="U321" s="628"/>
      <c r="V321" s="628"/>
      <c r="W321" s="673"/>
      <c r="X321" s="673"/>
      <c r="Y321" s="673"/>
      <c r="Z321" s="673"/>
    </row>
    <row r="322" spans="1:26" ht="62.25" customHeight="1" x14ac:dyDescent="0.2">
      <c r="A322" s="627"/>
      <c r="B322" s="627"/>
      <c r="C322" s="627"/>
      <c r="D322" s="627"/>
      <c r="E322" s="627"/>
      <c r="F322" s="540"/>
      <c r="G322" s="540"/>
      <c r="H322" s="540"/>
      <c r="I322" s="722"/>
      <c r="J322" s="721"/>
      <c r="K322" s="633"/>
      <c r="L322" s="633"/>
      <c r="M322" s="633"/>
      <c r="N322" s="632"/>
      <c r="O322" s="632"/>
      <c r="P322" s="632"/>
      <c r="Q322" s="632"/>
      <c r="R322" s="632"/>
      <c r="S322" s="628"/>
      <c r="T322" s="628"/>
      <c r="U322" s="628"/>
      <c r="V322" s="628"/>
      <c r="W322" s="673"/>
      <c r="X322" s="673"/>
      <c r="Y322" s="673"/>
      <c r="Z322" s="673"/>
    </row>
    <row r="323" spans="1:26" ht="62.25" customHeight="1" x14ac:dyDescent="0.2">
      <c r="A323" s="627"/>
      <c r="B323" s="627"/>
      <c r="C323" s="627"/>
      <c r="D323" s="627"/>
      <c r="E323" s="627"/>
      <c r="F323" s="540"/>
      <c r="G323" s="540"/>
      <c r="H323" s="540"/>
      <c r="I323" s="722"/>
      <c r="J323" s="721"/>
      <c r="K323" s="633"/>
      <c r="L323" s="633"/>
      <c r="M323" s="633"/>
      <c r="N323" s="632"/>
      <c r="O323" s="632"/>
      <c r="P323" s="632"/>
      <c r="Q323" s="632"/>
      <c r="R323" s="632"/>
      <c r="S323" s="628"/>
      <c r="T323" s="628"/>
      <c r="U323" s="628"/>
      <c r="V323" s="628"/>
      <c r="W323" s="673"/>
      <c r="X323" s="673"/>
      <c r="Y323" s="673"/>
      <c r="Z323" s="673"/>
    </row>
    <row r="324" spans="1:26" ht="62.25" customHeight="1" x14ac:dyDescent="0.2">
      <c r="A324" s="627"/>
      <c r="B324" s="627"/>
      <c r="C324" s="627"/>
      <c r="D324" s="627"/>
      <c r="E324" s="627"/>
      <c r="F324" s="540"/>
      <c r="G324" s="540"/>
      <c r="H324" s="540"/>
      <c r="I324" s="722"/>
      <c r="J324" s="721"/>
      <c r="K324" s="633"/>
      <c r="L324" s="633"/>
      <c r="M324" s="633"/>
      <c r="N324" s="632"/>
      <c r="O324" s="632"/>
      <c r="P324" s="632"/>
      <c r="Q324" s="632"/>
      <c r="R324" s="632"/>
      <c r="S324" s="628"/>
      <c r="T324" s="628"/>
      <c r="U324" s="628"/>
      <c r="V324" s="628"/>
      <c r="W324" s="673"/>
      <c r="X324" s="673"/>
      <c r="Y324" s="673"/>
      <c r="Z324" s="673"/>
    </row>
    <row r="325" spans="1:26" ht="62.25" customHeight="1" x14ac:dyDescent="0.2">
      <c r="A325" s="627"/>
      <c r="B325" s="627"/>
      <c r="C325" s="627"/>
      <c r="D325" s="627"/>
      <c r="E325" s="627"/>
      <c r="F325" s="540"/>
      <c r="G325" s="540"/>
      <c r="H325" s="540"/>
      <c r="I325" s="722"/>
      <c r="J325" s="721"/>
      <c r="K325" s="633"/>
      <c r="L325" s="633"/>
      <c r="M325" s="633"/>
      <c r="N325" s="632"/>
      <c r="O325" s="632"/>
      <c r="P325" s="632"/>
      <c r="Q325" s="632"/>
      <c r="R325" s="632"/>
      <c r="S325" s="628"/>
      <c r="T325" s="628"/>
      <c r="U325" s="628"/>
      <c r="V325" s="628"/>
      <c r="W325" s="673"/>
      <c r="X325" s="673"/>
      <c r="Y325" s="673"/>
      <c r="Z325" s="673"/>
    </row>
    <row r="326" spans="1:26" ht="62.25" customHeight="1" x14ac:dyDescent="0.2">
      <c r="A326" s="627"/>
      <c r="B326" s="627"/>
      <c r="C326" s="627"/>
      <c r="D326" s="627"/>
      <c r="E326" s="627"/>
      <c r="F326" s="540"/>
      <c r="G326" s="540"/>
      <c r="H326" s="540"/>
      <c r="I326" s="722"/>
      <c r="J326" s="721"/>
      <c r="K326" s="633"/>
      <c r="L326" s="633"/>
      <c r="M326" s="633"/>
      <c r="N326" s="632"/>
      <c r="O326" s="632"/>
      <c r="P326" s="632"/>
      <c r="Q326" s="632"/>
      <c r="R326" s="632"/>
      <c r="S326" s="628"/>
      <c r="T326" s="628"/>
      <c r="U326" s="628"/>
      <c r="V326" s="628"/>
      <c r="W326" s="673"/>
      <c r="X326" s="673"/>
      <c r="Y326" s="673"/>
      <c r="Z326" s="673"/>
    </row>
    <row r="327" spans="1:26" ht="62.25" customHeight="1" x14ac:dyDescent="0.2">
      <c r="A327" s="627"/>
      <c r="B327" s="627"/>
      <c r="C327" s="627"/>
      <c r="D327" s="627"/>
      <c r="E327" s="627"/>
      <c r="F327" s="540"/>
      <c r="G327" s="540"/>
      <c r="H327" s="540"/>
      <c r="I327" s="722"/>
      <c r="J327" s="721"/>
      <c r="K327" s="633"/>
      <c r="L327" s="633"/>
      <c r="M327" s="633"/>
      <c r="N327" s="632"/>
      <c r="O327" s="632"/>
      <c r="P327" s="632"/>
      <c r="Q327" s="632"/>
      <c r="R327" s="632"/>
      <c r="S327" s="628"/>
      <c r="T327" s="628"/>
      <c r="U327" s="628"/>
      <c r="V327" s="628"/>
      <c r="W327" s="673"/>
      <c r="X327" s="673"/>
      <c r="Y327" s="673"/>
      <c r="Z327" s="673"/>
    </row>
    <row r="328" spans="1:26" ht="62.25" customHeight="1" x14ac:dyDescent="0.2">
      <c r="A328" s="627"/>
      <c r="B328" s="627"/>
      <c r="C328" s="627"/>
      <c r="D328" s="627"/>
      <c r="E328" s="627"/>
      <c r="F328" s="540"/>
      <c r="G328" s="540"/>
      <c r="H328" s="540"/>
      <c r="I328" s="722"/>
      <c r="J328" s="721"/>
      <c r="K328" s="633"/>
      <c r="L328" s="633"/>
      <c r="M328" s="633"/>
      <c r="N328" s="632"/>
      <c r="O328" s="632"/>
      <c r="P328" s="632"/>
      <c r="Q328" s="632"/>
      <c r="R328" s="632"/>
      <c r="S328" s="628"/>
      <c r="T328" s="628"/>
      <c r="U328" s="628"/>
      <c r="V328" s="628"/>
      <c r="W328" s="673"/>
      <c r="X328" s="673"/>
      <c r="Y328" s="673"/>
      <c r="Z328" s="673"/>
    </row>
    <row r="329" spans="1:26" ht="62.25" customHeight="1" x14ac:dyDescent="0.2">
      <c r="A329" s="627"/>
      <c r="B329" s="627"/>
      <c r="C329" s="627"/>
      <c r="D329" s="627"/>
      <c r="E329" s="627"/>
      <c r="F329" s="540"/>
      <c r="G329" s="540"/>
      <c r="H329" s="540"/>
      <c r="I329" s="722"/>
      <c r="J329" s="721"/>
      <c r="K329" s="633"/>
      <c r="L329" s="633"/>
      <c r="M329" s="633"/>
      <c r="N329" s="632"/>
      <c r="O329" s="632"/>
      <c r="P329" s="632"/>
      <c r="Q329" s="632"/>
      <c r="R329" s="632"/>
      <c r="S329" s="628"/>
      <c r="T329" s="628"/>
      <c r="U329" s="628"/>
      <c r="V329" s="628"/>
      <c r="W329" s="673"/>
      <c r="X329" s="673"/>
      <c r="Y329" s="673"/>
      <c r="Z329" s="673"/>
    </row>
    <row r="330" spans="1:26" ht="62.25" customHeight="1" x14ac:dyDescent="0.2">
      <c r="A330" s="627"/>
      <c r="B330" s="627"/>
      <c r="C330" s="627"/>
      <c r="D330" s="627"/>
      <c r="E330" s="627"/>
      <c r="F330" s="540"/>
      <c r="G330" s="540"/>
      <c r="H330" s="540"/>
      <c r="I330" s="722"/>
      <c r="J330" s="721"/>
      <c r="K330" s="633"/>
      <c r="L330" s="633"/>
      <c r="M330" s="633"/>
      <c r="N330" s="632"/>
      <c r="O330" s="632"/>
      <c r="P330" s="632"/>
      <c r="Q330" s="632"/>
      <c r="R330" s="632"/>
      <c r="S330" s="628"/>
      <c r="T330" s="628"/>
      <c r="U330" s="628"/>
      <c r="V330" s="628"/>
      <c r="W330" s="673"/>
      <c r="X330" s="673"/>
      <c r="Y330" s="673"/>
      <c r="Z330" s="673"/>
    </row>
    <row r="331" spans="1:26" ht="62.25" customHeight="1" x14ac:dyDescent="0.2">
      <c r="A331" s="627"/>
      <c r="B331" s="627"/>
      <c r="C331" s="627"/>
      <c r="D331" s="627"/>
      <c r="E331" s="627"/>
      <c r="F331" s="540"/>
      <c r="G331" s="540"/>
      <c r="H331" s="540"/>
      <c r="I331" s="722"/>
      <c r="J331" s="721"/>
      <c r="K331" s="633"/>
      <c r="L331" s="633"/>
      <c r="M331" s="633"/>
      <c r="N331" s="632"/>
      <c r="O331" s="632"/>
      <c r="P331" s="632"/>
      <c r="Q331" s="632"/>
      <c r="R331" s="632"/>
      <c r="S331" s="628"/>
      <c r="T331" s="628"/>
      <c r="U331" s="628"/>
      <c r="V331" s="628"/>
      <c r="W331" s="673"/>
      <c r="X331" s="673"/>
      <c r="Y331" s="673"/>
      <c r="Z331" s="673"/>
    </row>
    <row r="332" spans="1:26" ht="62.25" customHeight="1" x14ac:dyDescent="0.2">
      <c r="A332" s="627"/>
      <c r="B332" s="627"/>
      <c r="C332" s="627"/>
      <c r="D332" s="627"/>
      <c r="E332" s="627"/>
      <c r="F332" s="540"/>
      <c r="G332" s="540"/>
      <c r="H332" s="540"/>
      <c r="I332" s="722"/>
      <c r="J332" s="721"/>
      <c r="K332" s="633"/>
      <c r="L332" s="633"/>
      <c r="M332" s="633"/>
      <c r="N332" s="632"/>
      <c r="O332" s="632"/>
      <c r="P332" s="632"/>
      <c r="Q332" s="632"/>
      <c r="R332" s="632"/>
      <c r="S332" s="628"/>
      <c r="T332" s="628"/>
      <c r="U332" s="628"/>
      <c r="V332" s="628"/>
      <c r="W332" s="673"/>
      <c r="X332" s="673"/>
      <c r="Y332" s="673"/>
      <c r="Z332" s="673"/>
    </row>
    <row r="333" spans="1:26" ht="62.25" customHeight="1" x14ac:dyDescent="0.2">
      <c r="A333" s="627"/>
      <c r="B333" s="627"/>
      <c r="C333" s="627"/>
      <c r="D333" s="627"/>
      <c r="E333" s="627"/>
      <c r="F333" s="540"/>
      <c r="G333" s="540"/>
      <c r="H333" s="540"/>
      <c r="I333" s="722"/>
      <c r="J333" s="721"/>
      <c r="K333" s="633"/>
      <c r="L333" s="633"/>
      <c r="M333" s="633"/>
      <c r="N333" s="632"/>
      <c r="O333" s="632"/>
      <c r="P333" s="632"/>
      <c r="Q333" s="632"/>
      <c r="R333" s="632"/>
      <c r="S333" s="628"/>
      <c r="T333" s="628"/>
      <c r="U333" s="628"/>
      <c r="V333" s="628"/>
      <c r="W333" s="673"/>
      <c r="X333" s="673"/>
      <c r="Y333" s="673"/>
      <c r="Z333" s="673"/>
    </row>
    <row r="334" spans="1:26" ht="62.25" customHeight="1" x14ac:dyDescent="0.2">
      <c r="A334" s="627"/>
      <c r="B334" s="627"/>
      <c r="C334" s="627"/>
      <c r="D334" s="627"/>
      <c r="E334" s="627"/>
      <c r="F334" s="540"/>
      <c r="G334" s="540"/>
      <c r="H334" s="540"/>
      <c r="I334" s="722"/>
      <c r="J334" s="721"/>
      <c r="K334" s="633"/>
      <c r="L334" s="633"/>
      <c r="M334" s="633"/>
      <c r="N334" s="632"/>
      <c r="O334" s="632"/>
      <c r="P334" s="632"/>
      <c r="Q334" s="632"/>
      <c r="R334" s="632"/>
      <c r="S334" s="628"/>
      <c r="T334" s="628"/>
      <c r="U334" s="628"/>
      <c r="V334" s="628"/>
      <c r="W334" s="673"/>
      <c r="X334" s="673"/>
      <c r="Y334" s="673"/>
      <c r="Z334" s="673"/>
    </row>
    <row r="335" spans="1:26" ht="62.25" customHeight="1" x14ac:dyDescent="0.2">
      <c r="A335" s="627"/>
      <c r="B335" s="627"/>
      <c r="C335" s="627"/>
      <c r="D335" s="627"/>
      <c r="E335" s="627"/>
      <c r="F335" s="540"/>
      <c r="G335" s="540"/>
      <c r="H335" s="540"/>
      <c r="I335" s="722"/>
      <c r="J335" s="721"/>
      <c r="K335" s="633"/>
      <c r="L335" s="633"/>
      <c r="M335" s="633"/>
      <c r="N335" s="632"/>
      <c r="O335" s="632"/>
      <c r="P335" s="632"/>
      <c r="Q335" s="632"/>
      <c r="R335" s="632"/>
      <c r="S335" s="628"/>
      <c r="T335" s="628"/>
      <c r="U335" s="628"/>
      <c r="V335" s="628"/>
      <c r="W335" s="673"/>
      <c r="X335" s="673"/>
      <c r="Y335" s="673"/>
      <c r="Z335" s="673"/>
    </row>
    <row r="336" spans="1:26" ht="62.25" customHeight="1" x14ac:dyDescent="0.2">
      <c r="A336" s="627"/>
      <c r="B336" s="627"/>
      <c r="C336" s="627"/>
      <c r="D336" s="627"/>
      <c r="E336" s="627"/>
      <c r="F336" s="540"/>
      <c r="G336" s="540"/>
      <c r="H336" s="540"/>
      <c r="I336" s="722"/>
      <c r="J336" s="721"/>
      <c r="K336" s="633"/>
      <c r="L336" s="633"/>
      <c r="M336" s="633"/>
      <c r="N336" s="632"/>
      <c r="O336" s="632"/>
      <c r="P336" s="632"/>
      <c r="Q336" s="632"/>
      <c r="R336" s="632"/>
      <c r="S336" s="628"/>
      <c r="T336" s="628"/>
      <c r="U336" s="628"/>
      <c r="V336" s="628"/>
      <c r="W336" s="673"/>
      <c r="X336" s="673"/>
      <c r="Y336" s="673"/>
      <c r="Z336" s="673"/>
    </row>
    <row r="337" spans="1:26" ht="62.25" customHeight="1" x14ac:dyDescent="0.2">
      <c r="A337" s="627"/>
      <c r="B337" s="627"/>
      <c r="C337" s="627"/>
      <c r="D337" s="627"/>
      <c r="E337" s="627"/>
      <c r="F337" s="540"/>
      <c r="G337" s="540"/>
      <c r="H337" s="540"/>
      <c r="I337" s="722"/>
      <c r="J337" s="721"/>
      <c r="K337" s="633"/>
      <c r="L337" s="633"/>
      <c r="M337" s="633"/>
      <c r="N337" s="632"/>
      <c r="O337" s="632"/>
      <c r="P337" s="632"/>
      <c r="Q337" s="632"/>
      <c r="R337" s="632"/>
      <c r="S337" s="628"/>
      <c r="T337" s="628"/>
      <c r="U337" s="628"/>
      <c r="V337" s="628"/>
      <c r="W337" s="673"/>
      <c r="X337" s="673"/>
      <c r="Y337" s="673"/>
      <c r="Z337" s="673"/>
    </row>
    <row r="338" spans="1:26" ht="62.25" customHeight="1" x14ac:dyDescent="0.2">
      <c r="A338" s="627"/>
      <c r="B338" s="627"/>
      <c r="C338" s="627"/>
      <c r="D338" s="627"/>
      <c r="E338" s="627"/>
      <c r="F338" s="540"/>
      <c r="G338" s="540"/>
      <c r="H338" s="540"/>
      <c r="I338" s="722"/>
      <c r="J338" s="721"/>
      <c r="K338" s="633"/>
      <c r="L338" s="633"/>
      <c r="M338" s="633"/>
      <c r="N338" s="632"/>
      <c r="O338" s="632"/>
      <c r="P338" s="632"/>
      <c r="Q338" s="632"/>
      <c r="R338" s="632"/>
      <c r="S338" s="628"/>
      <c r="T338" s="628"/>
      <c r="U338" s="628"/>
      <c r="V338" s="628"/>
      <c r="W338" s="673"/>
      <c r="X338" s="673"/>
      <c r="Y338" s="673"/>
      <c r="Z338" s="673"/>
    </row>
    <row r="339" spans="1:26" ht="62.25" customHeight="1" x14ac:dyDescent="0.2">
      <c r="A339" s="627"/>
      <c r="B339" s="627"/>
      <c r="C339" s="627"/>
      <c r="D339" s="627"/>
      <c r="E339" s="627"/>
      <c r="F339" s="540"/>
      <c r="G339" s="540"/>
      <c r="H339" s="540"/>
      <c r="I339" s="722"/>
      <c r="J339" s="721"/>
      <c r="K339" s="633"/>
      <c r="L339" s="633"/>
      <c r="M339" s="633"/>
      <c r="N339" s="632"/>
      <c r="O339" s="632"/>
      <c r="P339" s="632"/>
      <c r="Q339" s="632"/>
      <c r="R339" s="632"/>
      <c r="S339" s="628"/>
      <c r="T339" s="628"/>
      <c r="U339" s="628"/>
      <c r="V339" s="628"/>
      <c r="W339" s="673"/>
      <c r="X339" s="673"/>
      <c r="Y339" s="673"/>
      <c r="Z339" s="673"/>
    </row>
    <row r="340" spans="1:26" ht="62.25" customHeight="1" x14ac:dyDescent="0.2">
      <c r="A340" s="627"/>
      <c r="B340" s="627"/>
      <c r="C340" s="627"/>
      <c r="D340" s="627"/>
      <c r="E340" s="627"/>
      <c r="F340" s="540"/>
      <c r="G340" s="540"/>
      <c r="H340" s="540"/>
      <c r="I340" s="722"/>
      <c r="J340" s="721"/>
      <c r="K340" s="633"/>
      <c r="L340" s="633"/>
      <c r="M340" s="633"/>
      <c r="N340" s="632"/>
      <c r="O340" s="632"/>
      <c r="P340" s="632"/>
      <c r="Q340" s="632"/>
      <c r="R340" s="632"/>
      <c r="S340" s="628"/>
      <c r="T340" s="628"/>
      <c r="U340" s="628"/>
      <c r="V340" s="628"/>
      <c r="W340" s="673"/>
      <c r="X340" s="673"/>
      <c r="Y340" s="673"/>
      <c r="Z340" s="673"/>
    </row>
    <row r="341" spans="1:26" ht="62.25" customHeight="1" x14ac:dyDescent="0.2">
      <c r="A341" s="627"/>
      <c r="B341" s="627"/>
      <c r="C341" s="627"/>
      <c r="D341" s="627"/>
      <c r="E341" s="627"/>
      <c r="F341" s="540"/>
      <c r="G341" s="540"/>
      <c r="H341" s="540"/>
      <c r="I341" s="722"/>
      <c r="J341" s="721"/>
      <c r="K341" s="633"/>
      <c r="L341" s="633"/>
      <c r="M341" s="633"/>
      <c r="N341" s="632"/>
      <c r="O341" s="632"/>
      <c r="P341" s="632"/>
      <c r="Q341" s="632"/>
      <c r="R341" s="632"/>
      <c r="S341" s="628"/>
      <c r="T341" s="628"/>
      <c r="U341" s="628"/>
      <c r="V341" s="628"/>
      <c r="W341" s="673"/>
      <c r="X341" s="673"/>
      <c r="Y341" s="673"/>
      <c r="Z341" s="673"/>
    </row>
    <row r="342" spans="1:26" ht="62.25" customHeight="1" x14ac:dyDescent="0.2">
      <c r="A342" s="627"/>
      <c r="B342" s="627"/>
      <c r="C342" s="627"/>
      <c r="D342" s="627"/>
      <c r="E342" s="627"/>
      <c r="F342" s="540"/>
      <c r="G342" s="540"/>
      <c r="H342" s="540"/>
      <c r="I342" s="722"/>
      <c r="J342" s="721"/>
      <c r="K342" s="633"/>
      <c r="L342" s="633"/>
      <c r="M342" s="633"/>
      <c r="N342" s="632"/>
      <c r="O342" s="632"/>
      <c r="P342" s="632"/>
      <c r="Q342" s="632"/>
      <c r="R342" s="632"/>
      <c r="S342" s="628"/>
      <c r="T342" s="628"/>
      <c r="U342" s="628"/>
      <c r="V342" s="628"/>
      <c r="W342" s="673"/>
      <c r="X342" s="673"/>
      <c r="Y342" s="673"/>
      <c r="Z342" s="673"/>
    </row>
    <row r="343" spans="1:26" ht="62.25" customHeight="1" x14ac:dyDescent="0.2">
      <c r="A343" s="627"/>
      <c r="B343" s="627"/>
      <c r="C343" s="627"/>
      <c r="D343" s="627"/>
      <c r="E343" s="627"/>
      <c r="F343" s="540"/>
      <c r="G343" s="540"/>
      <c r="H343" s="540"/>
      <c r="I343" s="722"/>
      <c r="J343" s="721"/>
      <c r="K343" s="633"/>
      <c r="L343" s="633"/>
      <c r="M343" s="633"/>
      <c r="N343" s="632"/>
      <c r="O343" s="632"/>
      <c r="P343" s="632"/>
      <c r="Q343" s="632"/>
      <c r="R343" s="632"/>
      <c r="S343" s="628"/>
      <c r="T343" s="628"/>
      <c r="U343" s="628"/>
      <c r="V343" s="628"/>
      <c r="W343" s="673"/>
      <c r="X343" s="673"/>
      <c r="Y343" s="673"/>
      <c r="Z343" s="673"/>
    </row>
    <row r="344" spans="1:26" ht="62.25" customHeight="1" x14ac:dyDescent="0.2">
      <c r="A344" s="627"/>
      <c r="B344" s="627"/>
      <c r="C344" s="627"/>
      <c r="D344" s="627"/>
      <c r="E344" s="627"/>
      <c r="F344" s="540"/>
      <c r="G344" s="540"/>
      <c r="H344" s="540"/>
      <c r="I344" s="722"/>
      <c r="J344" s="721"/>
      <c r="K344" s="633"/>
      <c r="L344" s="633"/>
      <c r="M344" s="633"/>
      <c r="N344" s="632"/>
      <c r="O344" s="632"/>
      <c r="P344" s="632"/>
      <c r="Q344" s="632"/>
      <c r="R344" s="632"/>
      <c r="S344" s="628"/>
      <c r="T344" s="628"/>
      <c r="U344" s="628"/>
      <c r="V344" s="628"/>
      <c r="W344" s="673"/>
      <c r="X344" s="673"/>
      <c r="Y344" s="673"/>
      <c r="Z344" s="673"/>
    </row>
    <row r="345" spans="1:26" ht="62.25" customHeight="1" x14ac:dyDescent="0.2">
      <c r="A345" s="627"/>
      <c r="B345" s="627"/>
      <c r="C345" s="627"/>
      <c r="D345" s="627"/>
      <c r="E345" s="627"/>
      <c r="F345" s="540"/>
      <c r="G345" s="540"/>
      <c r="H345" s="540"/>
      <c r="I345" s="722"/>
      <c r="J345" s="721"/>
      <c r="K345" s="633"/>
      <c r="L345" s="633"/>
      <c r="M345" s="633"/>
      <c r="N345" s="632"/>
      <c r="O345" s="632"/>
      <c r="P345" s="632"/>
      <c r="Q345" s="632"/>
      <c r="R345" s="632"/>
      <c r="S345" s="628"/>
      <c r="T345" s="628"/>
      <c r="U345" s="628"/>
      <c r="V345" s="628"/>
      <c r="W345" s="673"/>
      <c r="X345" s="673"/>
      <c r="Y345" s="673"/>
      <c r="Z345" s="673"/>
    </row>
    <row r="346" spans="1:26" ht="62.25" customHeight="1" x14ac:dyDescent="0.2">
      <c r="A346" s="627"/>
      <c r="B346" s="627"/>
      <c r="C346" s="627"/>
      <c r="D346" s="627"/>
      <c r="E346" s="627"/>
      <c r="F346" s="540"/>
      <c r="G346" s="540"/>
      <c r="H346" s="540"/>
      <c r="I346" s="722"/>
      <c r="J346" s="721"/>
      <c r="K346" s="633"/>
      <c r="L346" s="633"/>
      <c r="M346" s="633"/>
      <c r="N346" s="632"/>
      <c r="O346" s="632"/>
      <c r="P346" s="632"/>
      <c r="Q346" s="632"/>
      <c r="R346" s="632"/>
      <c r="S346" s="628"/>
      <c r="T346" s="628"/>
      <c r="U346" s="628"/>
      <c r="V346" s="628"/>
      <c r="W346" s="673"/>
      <c r="X346" s="673"/>
      <c r="Y346" s="673"/>
      <c r="Z346" s="673"/>
    </row>
    <row r="347" spans="1:26" ht="62.25" customHeight="1" x14ac:dyDescent="0.2">
      <c r="A347" s="627"/>
      <c r="B347" s="627"/>
      <c r="C347" s="627"/>
      <c r="D347" s="627"/>
      <c r="E347" s="627"/>
      <c r="F347" s="540"/>
      <c r="G347" s="540"/>
      <c r="H347" s="540"/>
      <c r="I347" s="722"/>
      <c r="J347" s="721"/>
      <c r="K347" s="633"/>
      <c r="L347" s="633"/>
      <c r="M347" s="633"/>
      <c r="N347" s="632"/>
      <c r="O347" s="632"/>
      <c r="P347" s="632"/>
      <c r="Q347" s="632"/>
      <c r="R347" s="632"/>
      <c r="S347" s="628"/>
      <c r="T347" s="628"/>
      <c r="U347" s="628"/>
      <c r="V347" s="628"/>
      <c r="W347" s="673"/>
      <c r="X347" s="673"/>
      <c r="Y347" s="673"/>
      <c r="Z347" s="673"/>
    </row>
    <row r="348" spans="1:26" ht="62.25" customHeight="1" x14ac:dyDescent="0.2">
      <c r="A348" s="627"/>
      <c r="B348" s="627"/>
      <c r="C348" s="627"/>
      <c r="D348" s="627"/>
      <c r="E348" s="627"/>
      <c r="F348" s="540"/>
      <c r="G348" s="540"/>
      <c r="H348" s="540"/>
      <c r="I348" s="722"/>
      <c r="J348" s="721"/>
      <c r="K348" s="633"/>
      <c r="L348" s="633"/>
      <c r="M348" s="633"/>
      <c r="N348" s="632"/>
      <c r="O348" s="632"/>
      <c r="P348" s="632"/>
      <c r="Q348" s="632"/>
      <c r="R348" s="632"/>
      <c r="S348" s="628"/>
      <c r="T348" s="628"/>
      <c r="U348" s="628"/>
      <c r="V348" s="628"/>
      <c r="W348" s="673"/>
      <c r="X348" s="673"/>
      <c r="Y348" s="673"/>
      <c r="Z348" s="673"/>
    </row>
    <row r="349" spans="1:26" ht="62.25" customHeight="1" x14ac:dyDescent="0.2">
      <c r="A349" s="627"/>
      <c r="B349" s="627"/>
      <c r="C349" s="627"/>
      <c r="D349" s="627"/>
      <c r="E349" s="627"/>
      <c r="F349" s="540"/>
      <c r="G349" s="540"/>
      <c r="H349" s="540"/>
      <c r="I349" s="722"/>
      <c r="J349" s="721"/>
      <c r="K349" s="633"/>
      <c r="L349" s="633"/>
      <c r="M349" s="633"/>
      <c r="N349" s="632"/>
      <c r="O349" s="632"/>
      <c r="P349" s="632"/>
      <c r="Q349" s="632"/>
      <c r="R349" s="632"/>
      <c r="S349" s="628"/>
      <c r="T349" s="628"/>
      <c r="U349" s="628"/>
      <c r="V349" s="628"/>
      <c r="W349" s="673"/>
      <c r="X349" s="673"/>
      <c r="Y349" s="673"/>
      <c r="Z349" s="673"/>
    </row>
    <row r="350" spans="1:26" ht="62.25" customHeight="1" x14ac:dyDescent="0.2">
      <c r="A350" s="627"/>
      <c r="B350" s="627"/>
      <c r="C350" s="627"/>
      <c r="D350" s="627"/>
      <c r="E350" s="627"/>
      <c r="F350" s="540"/>
      <c r="G350" s="540"/>
      <c r="H350" s="540"/>
      <c r="I350" s="722"/>
      <c r="J350" s="721"/>
      <c r="K350" s="633"/>
      <c r="L350" s="633"/>
      <c r="M350" s="633"/>
      <c r="N350" s="632"/>
      <c r="O350" s="632"/>
      <c r="P350" s="632"/>
      <c r="Q350" s="632"/>
      <c r="R350" s="632"/>
      <c r="S350" s="628"/>
      <c r="T350" s="628"/>
      <c r="U350" s="628"/>
      <c r="V350" s="628"/>
      <c r="W350" s="673"/>
      <c r="X350" s="673"/>
      <c r="Y350" s="673"/>
      <c r="Z350" s="673"/>
    </row>
    <row r="351" spans="1:26" ht="62.25" customHeight="1" x14ac:dyDescent="0.2">
      <c r="A351" s="627"/>
      <c r="B351" s="627"/>
      <c r="C351" s="627"/>
      <c r="D351" s="627"/>
      <c r="E351" s="627"/>
      <c r="F351" s="540"/>
      <c r="G351" s="540"/>
      <c r="H351" s="540"/>
      <c r="I351" s="722"/>
      <c r="J351" s="721"/>
      <c r="K351" s="633"/>
      <c r="L351" s="633"/>
      <c r="M351" s="633"/>
      <c r="N351" s="632"/>
      <c r="O351" s="632"/>
      <c r="P351" s="632"/>
      <c r="Q351" s="632"/>
      <c r="R351" s="632"/>
      <c r="S351" s="628"/>
      <c r="T351" s="628"/>
      <c r="U351" s="628"/>
      <c r="V351" s="628"/>
      <c r="W351" s="673"/>
      <c r="X351" s="673"/>
      <c r="Y351" s="673"/>
      <c r="Z351" s="673"/>
    </row>
    <row r="352" spans="1:26" ht="62.25" customHeight="1" x14ac:dyDescent="0.2">
      <c r="A352" s="627"/>
      <c r="B352" s="627"/>
      <c r="C352" s="627"/>
      <c r="D352" s="627"/>
      <c r="E352" s="627"/>
      <c r="F352" s="540"/>
      <c r="G352" s="540"/>
      <c r="H352" s="540"/>
      <c r="I352" s="722"/>
      <c r="J352" s="721"/>
      <c r="K352" s="633"/>
      <c r="L352" s="633"/>
      <c r="M352" s="633"/>
      <c r="N352" s="632"/>
      <c r="O352" s="632"/>
      <c r="P352" s="632"/>
      <c r="Q352" s="632"/>
      <c r="R352" s="632"/>
      <c r="S352" s="628"/>
      <c r="T352" s="628"/>
      <c r="U352" s="628"/>
      <c r="V352" s="628"/>
      <c r="W352" s="673"/>
      <c r="X352" s="673"/>
      <c r="Y352" s="673"/>
      <c r="Z352" s="673"/>
    </row>
    <row r="353" spans="1:26" ht="62.25" customHeight="1" x14ac:dyDescent="0.2">
      <c r="A353" s="627"/>
      <c r="B353" s="627"/>
      <c r="C353" s="627"/>
      <c r="D353" s="627"/>
      <c r="E353" s="627"/>
      <c r="F353" s="540"/>
      <c r="G353" s="540"/>
      <c r="H353" s="540"/>
      <c r="I353" s="722"/>
      <c r="J353" s="721"/>
      <c r="K353" s="633"/>
      <c r="L353" s="633"/>
      <c r="M353" s="633"/>
      <c r="N353" s="632"/>
      <c r="O353" s="632"/>
      <c r="P353" s="632"/>
      <c r="Q353" s="632"/>
      <c r="R353" s="632"/>
      <c r="S353" s="628"/>
      <c r="T353" s="628"/>
      <c r="U353" s="628"/>
      <c r="V353" s="628"/>
      <c r="W353" s="673"/>
      <c r="X353" s="673"/>
      <c r="Y353" s="673"/>
      <c r="Z353" s="673"/>
    </row>
    <row r="354" spans="1:26" ht="62.25" customHeight="1" x14ac:dyDescent="0.2">
      <c r="A354" s="627"/>
      <c r="B354" s="627"/>
      <c r="C354" s="627"/>
      <c r="D354" s="627"/>
      <c r="E354" s="627"/>
      <c r="F354" s="540"/>
      <c r="G354" s="540"/>
      <c r="H354" s="540"/>
      <c r="I354" s="722"/>
      <c r="J354" s="721"/>
      <c r="K354" s="633"/>
      <c r="L354" s="633"/>
      <c r="M354" s="633"/>
      <c r="N354" s="632"/>
      <c r="O354" s="632"/>
      <c r="P354" s="632"/>
      <c r="Q354" s="632"/>
      <c r="R354" s="632"/>
      <c r="S354" s="628"/>
      <c r="T354" s="628"/>
      <c r="U354" s="628"/>
      <c r="V354" s="628"/>
      <c r="W354" s="673"/>
      <c r="X354" s="673"/>
      <c r="Y354" s="673"/>
      <c r="Z354" s="673"/>
    </row>
    <row r="355" spans="1:26" ht="62.25" customHeight="1" x14ac:dyDescent="0.2">
      <c r="A355" s="627"/>
      <c r="B355" s="627"/>
      <c r="C355" s="627"/>
      <c r="D355" s="627"/>
      <c r="E355" s="627"/>
      <c r="F355" s="540"/>
      <c r="G355" s="540"/>
      <c r="H355" s="540"/>
      <c r="I355" s="722"/>
      <c r="J355" s="721"/>
      <c r="K355" s="633"/>
      <c r="L355" s="633"/>
      <c r="M355" s="633"/>
      <c r="N355" s="632"/>
      <c r="O355" s="632"/>
      <c r="P355" s="632"/>
      <c r="Q355" s="632"/>
      <c r="R355" s="632"/>
      <c r="S355" s="628"/>
      <c r="T355" s="628"/>
      <c r="U355" s="628"/>
      <c r="V355" s="628"/>
      <c r="W355" s="673"/>
      <c r="X355" s="673"/>
      <c r="Y355" s="673"/>
      <c r="Z355" s="673"/>
    </row>
    <row r="356" spans="1:26" ht="62.25" customHeight="1" x14ac:dyDescent="0.2">
      <c r="A356" s="627"/>
      <c r="B356" s="627"/>
      <c r="C356" s="627"/>
      <c r="D356" s="627"/>
      <c r="E356" s="627"/>
      <c r="F356" s="540"/>
      <c r="G356" s="540"/>
      <c r="H356" s="540"/>
      <c r="I356" s="722"/>
      <c r="J356" s="721"/>
      <c r="K356" s="633"/>
      <c r="L356" s="633"/>
      <c r="M356" s="633"/>
      <c r="N356" s="632"/>
      <c r="O356" s="632"/>
      <c r="P356" s="632"/>
      <c r="Q356" s="632"/>
      <c r="R356" s="632"/>
      <c r="S356" s="628"/>
      <c r="T356" s="628"/>
      <c r="U356" s="628"/>
      <c r="V356" s="628"/>
      <c r="W356" s="673"/>
      <c r="X356" s="673"/>
      <c r="Y356" s="673"/>
      <c r="Z356" s="673"/>
    </row>
    <row r="357" spans="1:26" ht="62.25" customHeight="1" x14ac:dyDescent="0.2">
      <c r="A357" s="627"/>
      <c r="B357" s="627"/>
      <c r="C357" s="627"/>
      <c r="D357" s="627"/>
      <c r="E357" s="627"/>
      <c r="F357" s="540"/>
      <c r="G357" s="540"/>
      <c r="H357" s="540"/>
      <c r="I357" s="722"/>
      <c r="J357" s="721"/>
      <c r="K357" s="633"/>
      <c r="L357" s="633"/>
      <c r="M357" s="633"/>
      <c r="N357" s="632"/>
      <c r="O357" s="632"/>
      <c r="P357" s="632"/>
      <c r="Q357" s="632"/>
      <c r="R357" s="632"/>
      <c r="S357" s="628"/>
      <c r="T357" s="628"/>
      <c r="U357" s="628"/>
      <c r="V357" s="628"/>
      <c r="W357" s="673"/>
      <c r="X357" s="673"/>
      <c r="Y357" s="673"/>
      <c r="Z357" s="673"/>
    </row>
    <row r="358" spans="1:26" ht="62.25" customHeight="1" x14ac:dyDescent="0.2">
      <c r="A358" s="627"/>
      <c r="B358" s="627"/>
      <c r="C358" s="627"/>
      <c r="D358" s="627"/>
      <c r="E358" s="627"/>
      <c r="F358" s="540"/>
      <c r="G358" s="540"/>
      <c r="H358" s="540"/>
      <c r="I358" s="722"/>
      <c r="J358" s="721"/>
      <c r="K358" s="633"/>
      <c r="L358" s="633"/>
      <c r="M358" s="633"/>
      <c r="N358" s="632"/>
      <c r="O358" s="632"/>
      <c r="P358" s="632"/>
      <c r="Q358" s="632"/>
      <c r="R358" s="632"/>
      <c r="S358" s="628"/>
      <c r="T358" s="628"/>
      <c r="U358" s="628"/>
      <c r="V358" s="628"/>
      <c r="W358" s="673"/>
      <c r="X358" s="673"/>
      <c r="Y358" s="673"/>
      <c r="Z358" s="673"/>
    </row>
    <row r="359" spans="1:26" ht="62.25" customHeight="1" x14ac:dyDescent="0.2">
      <c r="A359" s="627"/>
      <c r="B359" s="627"/>
      <c r="C359" s="627"/>
      <c r="D359" s="627"/>
      <c r="E359" s="627"/>
      <c r="F359" s="540"/>
      <c r="G359" s="540"/>
      <c r="H359" s="540"/>
      <c r="I359" s="722"/>
      <c r="J359" s="721"/>
      <c r="K359" s="633"/>
      <c r="L359" s="633"/>
      <c r="M359" s="633"/>
      <c r="N359" s="632"/>
      <c r="O359" s="632"/>
      <c r="P359" s="632"/>
      <c r="Q359" s="632"/>
      <c r="R359" s="632"/>
      <c r="S359" s="628"/>
      <c r="T359" s="628"/>
      <c r="U359" s="628"/>
      <c r="V359" s="628"/>
      <c r="W359" s="673"/>
      <c r="X359" s="673"/>
      <c r="Y359" s="673"/>
      <c r="Z359" s="673"/>
    </row>
    <row r="360" spans="1:26" ht="62.25" customHeight="1" x14ac:dyDescent="0.2">
      <c r="A360" s="627"/>
      <c r="B360" s="627"/>
      <c r="C360" s="627"/>
      <c r="D360" s="627"/>
      <c r="E360" s="627"/>
      <c r="F360" s="540"/>
      <c r="G360" s="540"/>
      <c r="H360" s="540"/>
      <c r="I360" s="722"/>
      <c r="J360" s="721"/>
      <c r="K360" s="633"/>
      <c r="L360" s="633"/>
      <c r="M360" s="633"/>
      <c r="N360" s="632"/>
      <c r="O360" s="632"/>
      <c r="P360" s="632"/>
      <c r="Q360" s="632"/>
      <c r="R360" s="632"/>
      <c r="S360" s="628"/>
      <c r="T360" s="628"/>
      <c r="U360" s="628"/>
      <c r="V360" s="628"/>
      <c r="W360" s="673"/>
      <c r="X360" s="673"/>
      <c r="Y360" s="673"/>
      <c r="Z360" s="673"/>
    </row>
    <row r="361" spans="1:26" ht="62.25" customHeight="1" x14ac:dyDescent="0.2">
      <c r="A361" s="627"/>
      <c r="B361" s="627"/>
      <c r="C361" s="627"/>
      <c r="D361" s="627"/>
      <c r="E361" s="627"/>
      <c r="F361" s="540"/>
      <c r="G361" s="540"/>
      <c r="H361" s="540"/>
      <c r="I361" s="722"/>
      <c r="J361" s="721"/>
      <c r="K361" s="633"/>
      <c r="L361" s="633"/>
      <c r="M361" s="633"/>
      <c r="N361" s="632"/>
      <c r="O361" s="632"/>
      <c r="P361" s="632"/>
      <c r="Q361" s="632"/>
      <c r="R361" s="632"/>
      <c r="S361" s="628"/>
      <c r="T361" s="628"/>
      <c r="U361" s="628"/>
      <c r="V361" s="628"/>
      <c r="W361" s="673"/>
      <c r="X361" s="673"/>
      <c r="Y361" s="673"/>
      <c r="Z361" s="673"/>
    </row>
    <row r="362" spans="1:26" ht="62.25" customHeight="1" x14ac:dyDescent="0.2">
      <c r="A362" s="627"/>
      <c r="B362" s="627"/>
      <c r="C362" s="627"/>
      <c r="D362" s="627"/>
      <c r="E362" s="627"/>
      <c r="F362" s="540"/>
      <c r="G362" s="540"/>
      <c r="H362" s="540"/>
      <c r="I362" s="722"/>
      <c r="J362" s="721"/>
      <c r="K362" s="633"/>
      <c r="L362" s="633"/>
      <c r="M362" s="633"/>
      <c r="N362" s="632"/>
      <c r="O362" s="632"/>
      <c r="P362" s="632"/>
      <c r="Q362" s="632"/>
      <c r="R362" s="632"/>
      <c r="S362" s="628"/>
      <c r="T362" s="628"/>
      <c r="U362" s="628"/>
      <c r="V362" s="628"/>
      <c r="W362" s="673"/>
      <c r="X362" s="673"/>
      <c r="Y362" s="673"/>
      <c r="Z362" s="673"/>
    </row>
    <row r="363" spans="1:26" ht="62.25" customHeight="1" x14ac:dyDescent="0.2">
      <c r="A363" s="627"/>
      <c r="B363" s="627"/>
      <c r="C363" s="627"/>
      <c r="D363" s="627"/>
      <c r="E363" s="627"/>
      <c r="F363" s="540"/>
      <c r="G363" s="540"/>
      <c r="H363" s="540"/>
      <c r="I363" s="722"/>
      <c r="J363" s="721"/>
      <c r="K363" s="633"/>
      <c r="L363" s="633"/>
      <c r="M363" s="633"/>
      <c r="N363" s="632"/>
      <c r="O363" s="632"/>
      <c r="P363" s="632"/>
      <c r="Q363" s="632"/>
      <c r="R363" s="632"/>
      <c r="S363" s="628"/>
      <c r="T363" s="628"/>
      <c r="U363" s="628"/>
      <c r="V363" s="628"/>
      <c r="W363" s="673"/>
      <c r="X363" s="673"/>
      <c r="Y363" s="673"/>
      <c r="Z363" s="673"/>
    </row>
    <row r="364" spans="1:26" ht="62.25" customHeight="1" x14ac:dyDescent="0.2">
      <c r="A364" s="627"/>
      <c r="B364" s="627"/>
      <c r="C364" s="627"/>
      <c r="D364" s="627"/>
      <c r="E364" s="627"/>
      <c r="F364" s="540"/>
      <c r="G364" s="540"/>
      <c r="H364" s="540"/>
      <c r="I364" s="722"/>
      <c r="J364" s="721"/>
      <c r="K364" s="633"/>
      <c r="L364" s="633"/>
      <c r="M364" s="633"/>
      <c r="N364" s="632"/>
      <c r="O364" s="632"/>
      <c r="P364" s="632"/>
      <c r="Q364" s="632"/>
      <c r="R364" s="632"/>
      <c r="S364" s="628"/>
      <c r="T364" s="628"/>
      <c r="U364" s="628"/>
      <c r="V364" s="628"/>
      <c r="W364" s="673"/>
      <c r="X364" s="673"/>
      <c r="Y364" s="673"/>
      <c r="Z364" s="673"/>
    </row>
    <row r="365" spans="1:26" ht="62.25" customHeight="1" x14ac:dyDescent="0.2">
      <c r="A365" s="627"/>
      <c r="B365" s="627"/>
      <c r="C365" s="627"/>
      <c r="D365" s="627"/>
      <c r="E365" s="627"/>
      <c r="F365" s="540"/>
      <c r="G365" s="540"/>
      <c r="H365" s="540"/>
      <c r="I365" s="722"/>
      <c r="J365" s="721"/>
      <c r="K365" s="633"/>
      <c r="L365" s="633"/>
      <c r="M365" s="633"/>
      <c r="N365" s="632"/>
      <c r="O365" s="632"/>
      <c r="P365" s="632"/>
      <c r="Q365" s="632"/>
      <c r="R365" s="632"/>
      <c r="S365" s="628"/>
      <c r="T365" s="628"/>
      <c r="U365" s="628"/>
      <c r="V365" s="628"/>
      <c r="W365" s="673"/>
      <c r="X365" s="673"/>
      <c r="Y365" s="673"/>
      <c r="Z365" s="673"/>
    </row>
    <row r="366" spans="1:26" ht="62.25" customHeight="1" x14ac:dyDescent="0.2">
      <c r="A366" s="627"/>
      <c r="B366" s="627"/>
      <c r="C366" s="627"/>
      <c r="D366" s="627"/>
      <c r="E366" s="627"/>
      <c r="F366" s="540"/>
      <c r="G366" s="540"/>
      <c r="H366" s="540"/>
      <c r="I366" s="722"/>
      <c r="J366" s="721"/>
      <c r="K366" s="633"/>
      <c r="L366" s="633"/>
      <c r="M366" s="633"/>
      <c r="N366" s="632"/>
      <c r="O366" s="632"/>
      <c r="P366" s="632"/>
      <c r="Q366" s="632"/>
      <c r="R366" s="632"/>
      <c r="S366" s="628"/>
      <c r="T366" s="628"/>
      <c r="U366" s="628"/>
      <c r="V366" s="628"/>
      <c r="W366" s="673"/>
      <c r="X366" s="673"/>
      <c r="Y366" s="673"/>
      <c r="Z366" s="673"/>
    </row>
    <row r="367" spans="1:26" ht="62.25" customHeight="1" x14ac:dyDescent="0.2">
      <c r="A367" s="627"/>
      <c r="B367" s="627"/>
      <c r="C367" s="627"/>
      <c r="D367" s="627"/>
      <c r="E367" s="627"/>
      <c r="F367" s="540"/>
      <c r="G367" s="540"/>
      <c r="H367" s="540"/>
      <c r="I367" s="722"/>
      <c r="J367" s="721"/>
      <c r="K367" s="633"/>
      <c r="L367" s="633"/>
      <c r="M367" s="633"/>
      <c r="N367" s="632"/>
      <c r="O367" s="632"/>
      <c r="P367" s="632"/>
      <c r="Q367" s="632"/>
      <c r="R367" s="632"/>
      <c r="S367" s="628"/>
      <c r="T367" s="628"/>
      <c r="U367" s="628"/>
      <c r="V367" s="628"/>
      <c r="W367" s="673"/>
      <c r="X367" s="673"/>
      <c r="Y367" s="673"/>
      <c r="Z367" s="673"/>
    </row>
    <row r="368" spans="1:26" ht="62.25" customHeight="1" x14ac:dyDescent="0.2">
      <c r="A368" s="627"/>
      <c r="B368" s="627"/>
      <c r="C368" s="627"/>
      <c r="D368" s="627"/>
      <c r="E368" s="627"/>
      <c r="F368" s="630"/>
      <c r="G368" s="630"/>
      <c r="H368" s="630"/>
      <c r="I368" s="631"/>
      <c r="J368" s="632"/>
      <c r="K368" s="633"/>
      <c r="L368" s="633"/>
      <c r="M368" s="633"/>
      <c r="N368" s="632"/>
      <c r="O368" s="632"/>
      <c r="P368" s="632"/>
      <c r="Q368" s="632"/>
      <c r="R368" s="632"/>
      <c r="S368" s="628"/>
      <c r="T368" s="628"/>
      <c r="U368" s="628"/>
      <c r="V368" s="628"/>
      <c r="W368" s="673"/>
      <c r="X368" s="673"/>
      <c r="Y368" s="673"/>
      <c r="Z368" s="673"/>
    </row>
    <row r="369" spans="1:26" ht="62.25" customHeight="1" x14ac:dyDescent="0.2">
      <c r="A369" s="627"/>
      <c r="B369" s="627"/>
      <c r="C369" s="627"/>
      <c r="D369" s="627"/>
      <c r="E369" s="627"/>
      <c r="F369" s="630"/>
      <c r="G369" s="630"/>
      <c r="H369" s="630"/>
      <c r="I369" s="631"/>
      <c r="J369" s="632"/>
      <c r="K369" s="633"/>
      <c r="L369" s="633"/>
      <c r="M369" s="633"/>
      <c r="N369" s="632"/>
      <c r="O369" s="632"/>
      <c r="P369" s="632"/>
      <c r="Q369" s="632"/>
      <c r="R369" s="632"/>
      <c r="S369" s="628"/>
      <c r="T369" s="628"/>
      <c r="U369" s="628"/>
      <c r="V369" s="628"/>
      <c r="W369" s="673"/>
      <c r="X369" s="673"/>
      <c r="Y369" s="673"/>
      <c r="Z369" s="673"/>
    </row>
    <row r="370" spans="1:26" ht="62.25" customHeight="1" x14ac:dyDescent="0.2">
      <c r="A370" s="627"/>
      <c r="B370" s="627"/>
      <c r="C370" s="627"/>
      <c r="D370" s="627"/>
      <c r="E370" s="627"/>
      <c r="F370" s="630"/>
      <c r="G370" s="630"/>
      <c r="H370" s="630"/>
      <c r="I370" s="631"/>
      <c r="J370" s="632"/>
      <c r="K370" s="633"/>
      <c r="L370" s="633"/>
      <c r="M370" s="633"/>
      <c r="N370" s="632"/>
      <c r="O370" s="632"/>
      <c r="P370" s="632"/>
      <c r="Q370" s="632"/>
      <c r="R370" s="632"/>
      <c r="S370" s="628"/>
      <c r="T370" s="628"/>
      <c r="U370" s="628"/>
      <c r="V370" s="628"/>
      <c r="W370" s="673"/>
      <c r="X370" s="673"/>
      <c r="Y370" s="673"/>
      <c r="Z370" s="673"/>
    </row>
    <row r="371" spans="1:26" ht="62.25" customHeight="1" x14ac:dyDescent="0.2">
      <c r="A371" s="627"/>
      <c r="B371" s="627"/>
      <c r="C371" s="627"/>
      <c r="D371" s="627"/>
      <c r="E371" s="627"/>
      <c r="F371" s="630"/>
      <c r="G371" s="630"/>
      <c r="H371" s="630"/>
      <c r="I371" s="631"/>
      <c r="J371" s="632"/>
      <c r="K371" s="633"/>
      <c r="L371" s="633"/>
      <c r="M371" s="633"/>
      <c r="N371" s="632"/>
      <c r="O371" s="632"/>
      <c r="P371" s="632"/>
      <c r="Q371" s="632"/>
      <c r="R371" s="632"/>
      <c r="S371" s="628"/>
      <c r="T371" s="628"/>
      <c r="U371" s="628"/>
      <c r="V371" s="628"/>
      <c r="W371" s="673"/>
      <c r="X371" s="673"/>
      <c r="Y371" s="673"/>
      <c r="Z371" s="673"/>
    </row>
    <row r="372" spans="1:26" ht="62.25" customHeight="1" x14ac:dyDescent="0.2">
      <c r="A372" s="627"/>
      <c r="B372" s="627"/>
      <c r="C372" s="627"/>
      <c r="D372" s="627"/>
      <c r="E372" s="627"/>
      <c r="F372" s="630"/>
      <c r="G372" s="630"/>
      <c r="H372" s="630"/>
      <c r="I372" s="631"/>
      <c r="J372" s="632"/>
      <c r="K372" s="633"/>
      <c r="L372" s="633"/>
      <c r="M372" s="633"/>
      <c r="N372" s="632"/>
      <c r="O372" s="632"/>
      <c r="P372" s="632"/>
      <c r="Q372" s="632"/>
      <c r="R372" s="632"/>
      <c r="S372" s="628"/>
      <c r="T372" s="628"/>
      <c r="U372" s="628"/>
      <c r="V372" s="628"/>
      <c r="W372" s="673"/>
      <c r="X372" s="673"/>
      <c r="Y372" s="673"/>
      <c r="Z372" s="673"/>
    </row>
    <row r="373" spans="1:26" ht="62.25" customHeight="1" x14ac:dyDescent="0.2">
      <c r="A373" s="627"/>
      <c r="B373" s="627"/>
      <c r="C373" s="627"/>
      <c r="D373" s="627"/>
      <c r="E373" s="627"/>
      <c r="F373" s="630"/>
      <c r="G373" s="630"/>
      <c r="H373" s="630"/>
      <c r="I373" s="631"/>
      <c r="J373" s="632"/>
      <c r="K373" s="633"/>
      <c r="L373" s="633"/>
      <c r="M373" s="633"/>
      <c r="N373" s="632"/>
      <c r="O373" s="632"/>
      <c r="P373" s="632"/>
      <c r="Q373" s="632"/>
      <c r="R373" s="632"/>
      <c r="S373" s="628"/>
      <c r="T373" s="628"/>
      <c r="U373" s="628"/>
      <c r="V373" s="628"/>
      <c r="W373" s="673"/>
      <c r="X373" s="673"/>
      <c r="Y373" s="673"/>
      <c r="Z373" s="673"/>
    </row>
    <row r="374" spans="1:26" ht="62.25" customHeight="1" x14ac:dyDescent="0.2">
      <c r="A374" s="627"/>
      <c r="B374" s="627"/>
      <c r="C374" s="627"/>
      <c r="D374" s="627"/>
      <c r="E374" s="627"/>
      <c r="F374" s="630"/>
      <c r="G374" s="630"/>
      <c r="H374" s="630"/>
      <c r="I374" s="631"/>
      <c r="J374" s="632"/>
      <c r="K374" s="633"/>
      <c r="L374" s="633"/>
      <c r="M374" s="633"/>
      <c r="N374" s="632"/>
      <c r="O374" s="632"/>
      <c r="P374" s="632"/>
      <c r="Q374" s="632"/>
      <c r="R374" s="632"/>
      <c r="S374" s="628"/>
      <c r="T374" s="628"/>
      <c r="U374" s="628"/>
      <c r="V374" s="628"/>
      <c r="W374" s="673"/>
      <c r="X374" s="673"/>
      <c r="Y374" s="673"/>
      <c r="Z374" s="673"/>
    </row>
    <row r="375" spans="1:26" ht="62.25" customHeight="1" x14ac:dyDescent="0.2">
      <c r="A375" s="627"/>
      <c r="B375" s="627"/>
      <c r="C375" s="627"/>
      <c r="D375" s="627"/>
      <c r="E375" s="627"/>
      <c r="F375" s="630"/>
      <c r="G375" s="630"/>
      <c r="H375" s="630"/>
      <c r="I375" s="631"/>
      <c r="J375" s="632"/>
      <c r="K375" s="633"/>
      <c r="L375" s="633"/>
      <c r="M375" s="633"/>
      <c r="N375" s="632"/>
      <c r="O375" s="632"/>
      <c r="P375" s="632"/>
      <c r="Q375" s="632"/>
      <c r="R375" s="632"/>
      <c r="S375" s="628"/>
      <c r="T375" s="628"/>
      <c r="U375" s="628"/>
      <c r="V375" s="628"/>
      <c r="W375" s="673"/>
      <c r="X375" s="673"/>
      <c r="Y375" s="673"/>
      <c r="Z375" s="673"/>
    </row>
    <row r="376" spans="1:26" ht="62.25" customHeight="1" x14ac:dyDescent="0.2">
      <c r="A376" s="627"/>
      <c r="B376" s="627"/>
      <c r="C376" s="627"/>
      <c r="D376" s="627"/>
      <c r="E376" s="627"/>
      <c r="F376" s="630"/>
      <c r="G376" s="630"/>
      <c r="H376" s="630"/>
      <c r="I376" s="631"/>
      <c r="J376" s="632"/>
      <c r="K376" s="633"/>
      <c r="L376" s="633"/>
      <c r="M376" s="633"/>
      <c r="N376" s="632"/>
      <c r="O376" s="632"/>
      <c r="P376" s="632"/>
      <c r="Q376" s="632"/>
      <c r="R376" s="632"/>
      <c r="S376" s="628"/>
      <c r="T376" s="628"/>
      <c r="U376" s="628"/>
      <c r="V376" s="628"/>
      <c r="W376" s="673"/>
      <c r="X376" s="673"/>
      <c r="Y376" s="673"/>
      <c r="Z376" s="673"/>
    </row>
    <row r="377" spans="1:26" ht="62.25" customHeight="1" x14ac:dyDescent="0.2">
      <c r="A377" s="627"/>
      <c r="B377" s="627"/>
      <c r="C377" s="627"/>
      <c r="D377" s="627"/>
      <c r="E377" s="627"/>
      <c r="F377" s="630"/>
      <c r="G377" s="630"/>
      <c r="H377" s="630"/>
      <c r="I377" s="631"/>
      <c r="J377" s="632"/>
      <c r="K377" s="633"/>
      <c r="L377" s="633"/>
      <c r="M377" s="633"/>
      <c r="N377" s="632"/>
      <c r="O377" s="632"/>
      <c r="P377" s="632"/>
      <c r="Q377" s="632"/>
      <c r="R377" s="632"/>
      <c r="S377" s="628"/>
      <c r="T377" s="628"/>
      <c r="U377" s="628"/>
      <c r="V377" s="628"/>
      <c r="W377" s="673"/>
      <c r="X377" s="673"/>
      <c r="Y377" s="673"/>
      <c r="Z377" s="673"/>
    </row>
    <row r="378" spans="1:26" ht="62.25" customHeight="1" x14ac:dyDescent="0.2">
      <c r="A378" s="627"/>
      <c r="B378" s="627"/>
      <c r="C378" s="627"/>
      <c r="D378" s="627"/>
      <c r="E378" s="627"/>
      <c r="F378" s="630"/>
      <c r="G378" s="630"/>
      <c r="H378" s="630"/>
      <c r="I378" s="631"/>
      <c r="J378" s="632"/>
      <c r="K378" s="633"/>
      <c r="L378" s="633"/>
      <c r="M378" s="633"/>
      <c r="N378" s="632"/>
      <c r="O378" s="632"/>
      <c r="P378" s="632"/>
      <c r="Q378" s="632"/>
      <c r="R378" s="632"/>
      <c r="S378" s="628"/>
      <c r="T378" s="628"/>
      <c r="U378" s="628"/>
      <c r="V378" s="628"/>
      <c r="W378" s="673"/>
      <c r="X378" s="673"/>
      <c r="Y378" s="673"/>
      <c r="Z378" s="673"/>
    </row>
    <row r="379" spans="1:26" ht="62.25" customHeight="1" x14ac:dyDescent="0.2">
      <c r="A379" s="627"/>
      <c r="B379" s="627"/>
      <c r="C379" s="627"/>
      <c r="D379" s="627"/>
      <c r="E379" s="627"/>
      <c r="F379" s="630"/>
      <c r="G379" s="630"/>
      <c r="H379" s="630"/>
      <c r="I379" s="631"/>
      <c r="J379" s="632"/>
      <c r="K379" s="633"/>
      <c r="L379" s="633"/>
      <c r="M379" s="633"/>
      <c r="N379" s="632"/>
      <c r="O379" s="632"/>
      <c r="P379" s="632"/>
      <c r="Q379" s="632"/>
      <c r="R379" s="632"/>
      <c r="S379" s="628"/>
      <c r="T379" s="628"/>
      <c r="U379" s="628"/>
      <c r="V379" s="628"/>
      <c r="W379" s="673"/>
      <c r="X379" s="673"/>
      <c r="Y379" s="673"/>
      <c r="Z379" s="673"/>
    </row>
    <row r="380" spans="1:26" ht="62.25" customHeight="1" x14ac:dyDescent="0.2">
      <c r="A380" s="627"/>
      <c r="B380" s="627"/>
      <c r="C380" s="627"/>
      <c r="D380" s="627"/>
      <c r="E380" s="627"/>
      <c r="F380" s="630"/>
      <c r="G380" s="630"/>
      <c r="H380" s="630"/>
      <c r="I380" s="631"/>
      <c r="J380" s="632"/>
      <c r="K380" s="633"/>
      <c r="L380" s="633"/>
      <c r="M380" s="633"/>
      <c r="N380" s="632"/>
      <c r="O380" s="632"/>
      <c r="P380" s="632"/>
      <c r="Q380" s="632"/>
      <c r="R380" s="632"/>
      <c r="S380" s="628"/>
      <c r="T380" s="628"/>
      <c r="U380" s="628"/>
      <c r="V380" s="628"/>
      <c r="W380" s="673"/>
      <c r="X380" s="673"/>
      <c r="Y380" s="673"/>
      <c r="Z380" s="673"/>
    </row>
    <row r="381" spans="1:26" ht="62.25" customHeight="1" x14ac:dyDescent="0.2">
      <c r="A381" s="627"/>
      <c r="B381" s="627"/>
      <c r="C381" s="627"/>
      <c r="D381" s="627"/>
      <c r="E381" s="627"/>
      <c r="F381" s="630"/>
      <c r="G381" s="630"/>
      <c r="H381" s="630"/>
      <c r="I381" s="631"/>
      <c r="J381" s="632"/>
      <c r="K381" s="633"/>
      <c r="L381" s="633"/>
      <c r="M381" s="633"/>
      <c r="N381" s="632"/>
      <c r="O381" s="632"/>
      <c r="P381" s="632"/>
      <c r="Q381" s="632"/>
      <c r="R381" s="632"/>
      <c r="S381" s="628"/>
      <c r="T381" s="628"/>
      <c r="U381" s="628"/>
      <c r="V381" s="628"/>
      <c r="W381" s="673"/>
      <c r="X381" s="673"/>
      <c r="Y381" s="673"/>
      <c r="Z381" s="673"/>
    </row>
    <row r="382" spans="1:26" ht="62.25" customHeight="1" x14ac:dyDescent="0.2">
      <c r="A382" s="627"/>
      <c r="B382" s="627"/>
      <c r="C382" s="627"/>
      <c r="D382" s="627"/>
      <c r="E382" s="627"/>
      <c r="F382" s="630"/>
      <c r="G382" s="630"/>
      <c r="H382" s="630"/>
      <c r="I382" s="631"/>
      <c r="J382" s="632"/>
      <c r="K382" s="633"/>
      <c r="L382" s="633"/>
      <c r="M382" s="633"/>
      <c r="N382" s="632"/>
      <c r="O382" s="632"/>
      <c r="P382" s="632"/>
      <c r="Q382" s="632"/>
      <c r="R382" s="632"/>
      <c r="S382" s="628"/>
      <c r="T382" s="628"/>
      <c r="U382" s="628"/>
      <c r="V382" s="628"/>
      <c r="W382" s="673"/>
      <c r="X382" s="673"/>
      <c r="Y382" s="673"/>
      <c r="Z382" s="673"/>
    </row>
    <row r="383" spans="1:26" ht="62.25" customHeight="1" x14ac:dyDescent="0.2">
      <c r="A383" s="627"/>
      <c r="B383" s="627"/>
      <c r="C383" s="627"/>
      <c r="D383" s="627"/>
      <c r="E383" s="627"/>
      <c r="F383" s="630"/>
      <c r="G383" s="630"/>
      <c r="H383" s="630"/>
      <c r="I383" s="631"/>
      <c r="J383" s="632"/>
      <c r="K383" s="633"/>
      <c r="L383" s="633"/>
      <c r="M383" s="633"/>
      <c r="N383" s="632"/>
      <c r="O383" s="632"/>
      <c r="P383" s="632"/>
      <c r="Q383" s="632"/>
      <c r="R383" s="632"/>
      <c r="S383" s="628"/>
      <c r="T383" s="628"/>
      <c r="U383" s="628"/>
      <c r="V383" s="628"/>
      <c r="W383" s="673"/>
      <c r="X383" s="673"/>
      <c r="Y383" s="673"/>
      <c r="Z383" s="673"/>
    </row>
    <row r="384" spans="1:26" ht="62.25" customHeight="1" x14ac:dyDescent="0.2">
      <c r="A384" s="627"/>
      <c r="B384" s="627"/>
      <c r="C384" s="627"/>
      <c r="D384" s="627"/>
      <c r="E384" s="627"/>
      <c r="F384" s="630"/>
      <c r="G384" s="630"/>
      <c r="H384" s="630"/>
      <c r="I384" s="631"/>
      <c r="J384" s="632"/>
      <c r="K384" s="633"/>
      <c r="L384" s="633"/>
      <c r="M384" s="633"/>
      <c r="N384" s="632"/>
      <c r="O384" s="632"/>
      <c r="P384" s="632"/>
      <c r="Q384" s="632"/>
      <c r="R384" s="632"/>
      <c r="S384" s="628"/>
      <c r="T384" s="628"/>
      <c r="U384" s="628"/>
      <c r="V384" s="628"/>
      <c r="W384" s="673"/>
      <c r="X384" s="673"/>
      <c r="Y384" s="673"/>
      <c r="Z384" s="673"/>
    </row>
    <row r="385" spans="1:26" ht="62.25" customHeight="1" x14ac:dyDescent="0.2">
      <c r="A385" s="627"/>
      <c r="B385" s="627"/>
      <c r="C385" s="627"/>
      <c r="D385" s="627"/>
      <c r="E385" s="627"/>
      <c r="F385" s="630"/>
      <c r="G385" s="630"/>
      <c r="H385" s="630"/>
      <c r="I385" s="631"/>
      <c r="J385" s="632"/>
      <c r="K385" s="633"/>
      <c r="L385" s="633"/>
      <c r="M385" s="633"/>
      <c r="N385" s="632"/>
      <c r="O385" s="632"/>
      <c r="P385" s="632"/>
      <c r="Q385" s="632"/>
      <c r="R385" s="632"/>
      <c r="S385" s="628"/>
      <c r="T385" s="628"/>
      <c r="U385" s="628"/>
      <c r="V385" s="628"/>
      <c r="W385" s="673"/>
      <c r="X385" s="673"/>
      <c r="Y385" s="673"/>
      <c r="Z385" s="673"/>
    </row>
    <row r="386" spans="1:26" ht="62.25" customHeight="1" x14ac:dyDescent="0.2">
      <c r="A386" s="627"/>
      <c r="B386" s="627"/>
      <c r="C386" s="627"/>
      <c r="D386" s="627"/>
      <c r="E386" s="627"/>
      <c r="F386" s="630"/>
      <c r="G386" s="630"/>
      <c r="H386" s="630"/>
      <c r="I386" s="631"/>
      <c r="J386" s="632"/>
      <c r="K386" s="633"/>
      <c r="L386" s="633"/>
      <c r="M386" s="633"/>
      <c r="N386" s="632"/>
      <c r="O386" s="632"/>
      <c r="P386" s="632"/>
      <c r="Q386" s="632"/>
      <c r="R386" s="632"/>
      <c r="S386" s="628"/>
      <c r="T386" s="628"/>
      <c r="U386" s="628"/>
      <c r="V386" s="628"/>
      <c r="W386" s="673"/>
      <c r="X386" s="673"/>
      <c r="Y386" s="673"/>
      <c r="Z386" s="673"/>
    </row>
    <row r="387" spans="1:26" ht="62.25" customHeight="1" x14ac:dyDescent="0.2">
      <c r="A387" s="627"/>
      <c r="B387" s="627"/>
      <c r="C387" s="627"/>
      <c r="D387" s="627"/>
      <c r="E387" s="627"/>
      <c r="F387" s="630"/>
      <c r="G387" s="630"/>
      <c r="H387" s="630"/>
      <c r="I387" s="631"/>
      <c r="J387" s="632"/>
      <c r="K387" s="633"/>
      <c r="L387" s="633"/>
      <c r="M387" s="633"/>
      <c r="N387" s="632"/>
      <c r="O387" s="632"/>
      <c r="P387" s="632"/>
      <c r="Q387" s="632"/>
      <c r="R387" s="632"/>
      <c r="S387" s="628"/>
      <c r="T387" s="628"/>
      <c r="U387" s="628"/>
      <c r="V387" s="628"/>
      <c r="W387" s="673"/>
      <c r="X387" s="673"/>
      <c r="Y387" s="673"/>
      <c r="Z387" s="673"/>
    </row>
    <row r="388" spans="1:26" ht="62.25" customHeight="1" x14ac:dyDescent="0.2">
      <c r="A388" s="627"/>
      <c r="B388" s="627"/>
      <c r="C388" s="627"/>
      <c r="D388" s="627"/>
      <c r="E388" s="627"/>
      <c r="F388" s="630"/>
      <c r="G388" s="630"/>
      <c r="H388" s="630"/>
      <c r="I388" s="631"/>
      <c r="J388" s="632"/>
      <c r="K388" s="633"/>
      <c r="L388" s="633"/>
      <c r="M388" s="633"/>
      <c r="N388" s="632"/>
      <c r="O388" s="632"/>
      <c r="P388" s="632"/>
      <c r="Q388" s="632"/>
      <c r="R388" s="632"/>
      <c r="S388" s="628"/>
      <c r="T388" s="628"/>
      <c r="U388" s="628"/>
      <c r="V388" s="628"/>
      <c r="W388" s="673"/>
      <c r="X388" s="673"/>
      <c r="Y388" s="673"/>
      <c r="Z388" s="673"/>
    </row>
    <row r="389" spans="1:26" ht="62.25" customHeight="1" x14ac:dyDescent="0.2">
      <c r="A389" s="627"/>
      <c r="B389" s="627"/>
      <c r="C389" s="627"/>
      <c r="D389" s="627"/>
      <c r="E389" s="627"/>
      <c r="F389" s="630"/>
      <c r="G389" s="630"/>
      <c r="H389" s="630"/>
      <c r="I389" s="631"/>
      <c r="J389" s="632"/>
      <c r="K389" s="633"/>
      <c r="L389" s="633"/>
      <c r="M389" s="633"/>
      <c r="N389" s="632"/>
      <c r="O389" s="632"/>
      <c r="P389" s="632"/>
      <c r="Q389" s="632"/>
      <c r="R389" s="632"/>
      <c r="S389" s="628"/>
      <c r="T389" s="628"/>
      <c r="U389" s="628"/>
      <c r="V389" s="628"/>
      <c r="W389" s="673"/>
      <c r="X389" s="673"/>
      <c r="Y389" s="673"/>
      <c r="Z389" s="673"/>
    </row>
    <row r="390" spans="1:26" ht="62.25" customHeight="1" x14ac:dyDescent="0.2">
      <c r="A390" s="627"/>
      <c r="B390" s="627"/>
      <c r="C390" s="627"/>
      <c r="D390" s="627"/>
      <c r="E390" s="627"/>
      <c r="F390" s="630"/>
      <c r="G390" s="630"/>
      <c r="H390" s="630"/>
      <c r="I390" s="631"/>
      <c r="J390" s="632"/>
      <c r="K390" s="633"/>
      <c r="L390" s="633"/>
      <c r="M390" s="633"/>
      <c r="N390" s="632"/>
      <c r="O390" s="632"/>
      <c r="P390" s="632"/>
      <c r="Q390" s="632"/>
      <c r="R390" s="632"/>
      <c r="S390" s="628"/>
      <c r="T390" s="628"/>
      <c r="U390" s="628"/>
      <c r="V390" s="628"/>
      <c r="W390" s="673"/>
      <c r="X390" s="673"/>
      <c r="Y390" s="673"/>
      <c r="Z390" s="673"/>
    </row>
    <row r="391" spans="1:26" ht="62.25" customHeight="1" x14ac:dyDescent="0.2">
      <c r="A391" s="627"/>
      <c r="B391" s="627"/>
      <c r="C391" s="627"/>
      <c r="D391" s="627"/>
      <c r="E391" s="627"/>
      <c r="F391" s="630"/>
      <c r="G391" s="630"/>
      <c r="H391" s="630"/>
      <c r="I391" s="631"/>
      <c r="J391" s="632"/>
      <c r="K391" s="633"/>
      <c r="L391" s="633"/>
      <c r="M391" s="633"/>
      <c r="N391" s="632"/>
      <c r="O391" s="632"/>
      <c r="P391" s="632"/>
      <c r="Q391" s="632"/>
      <c r="R391" s="632"/>
      <c r="S391" s="628"/>
      <c r="T391" s="628"/>
      <c r="U391" s="628"/>
      <c r="V391" s="628"/>
      <c r="W391" s="673"/>
      <c r="X391" s="673"/>
      <c r="Y391" s="673"/>
      <c r="Z391" s="673"/>
    </row>
    <row r="392" spans="1:26" ht="62.25" customHeight="1" x14ac:dyDescent="0.2">
      <c r="A392" s="627"/>
      <c r="B392" s="627"/>
      <c r="C392" s="627"/>
      <c r="D392" s="627"/>
      <c r="E392" s="627"/>
      <c r="F392" s="630"/>
      <c r="G392" s="630"/>
      <c r="H392" s="630"/>
      <c r="I392" s="631"/>
      <c r="J392" s="632"/>
      <c r="K392" s="633"/>
      <c r="L392" s="633"/>
      <c r="M392" s="633"/>
      <c r="N392" s="632"/>
      <c r="O392" s="632"/>
      <c r="P392" s="632"/>
      <c r="Q392" s="632"/>
      <c r="R392" s="632"/>
      <c r="S392" s="628"/>
      <c r="T392" s="628"/>
      <c r="U392" s="628"/>
      <c r="V392" s="628"/>
      <c r="W392" s="673"/>
      <c r="X392" s="673"/>
      <c r="Y392" s="673"/>
      <c r="Z392" s="673"/>
    </row>
    <row r="393" spans="1:26" ht="62.25" customHeight="1" x14ac:dyDescent="0.2">
      <c r="A393" s="627"/>
      <c r="B393" s="627"/>
      <c r="C393" s="627"/>
      <c r="D393" s="627"/>
      <c r="E393" s="627"/>
      <c r="F393" s="630"/>
      <c r="G393" s="630"/>
      <c r="H393" s="630"/>
      <c r="I393" s="631"/>
      <c r="J393" s="632"/>
      <c r="K393" s="633"/>
      <c r="L393" s="633"/>
      <c r="M393" s="633"/>
      <c r="N393" s="632"/>
      <c r="O393" s="632"/>
      <c r="P393" s="632"/>
      <c r="Q393" s="632"/>
      <c r="R393" s="632"/>
      <c r="S393" s="628"/>
      <c r="T393" s="628"/>
      <c r="U393" s="628"/>
      <c r="V393" s="628"/>
      <c r="W393" s="673"/>
      <c r="X393" s="673"/>
      <c r="Y393" s="673"/>
      <c r="Z393" s="673"/>
    </row>
    <row r="394" spans="1:26" ht="62.25" customHeight="1" x14ac:dyDescent="0.2">
      <c r="A394" s="627"/>
      <c r="B394" s="627"/>
      <c r="C394" s="627"/>
      <c r="D394" s="627"/>
      <c r="E394" s="627"/>
      <c r="F394" s="630"/>
      <c r="G394" s="630"/>
      <c r="H394" s="630"/>
      <c r="I394" s="631"/>
      <c r="J394" s="632"/>
      <c r="K394" s="633"/>
      <c r="L394" s="633"/>
      <c r="M394" s="633"/>
      <c r="N394" s="632"/>
      <c r="O394" s="632"/>
      <c r="P394" s="632"/>
      <c r="Q394" s="632"/>
      <c r="R394" s="632"/>
      <c r="S394" s="628"/>
      <c r="T394" s="628"/>
      <c r="U394" s="628"/>
      <c r="V394" s="628"/>
      <c r="W394" s="673"/>
      <c r="X394" s="673"/>
      <c r="Y394" s="673"/>
      <c r="Z394" s="673"/>
    </row>
    <row r="395" spans="1:26" ht="62.25" customHeight="1" x14ac:dyDescent="0.2">
      <c r="A395" s="627"/>
      <c r="B395" s="627"/>
      <c r="C395" s="627"/>
      <c r="D395" s="627"/>
      <c r="E395" s="627"/>
      <c r="F395" s="630"/>
      <c r="G395" s="630"/>
      <c r="H395" s="630"/>
      <c r="I395" s="631"/>
      <c r="J395" s="632"/>
      <c r="K395" s="633"/>
      <c r="L395" s="633"/>
      <c r="M395" s="633"/>
      <c r="N395" s="632"/>
      <c r="O395" s="632"/>
      <c r="P395" s="632"/>
      <c r="Q395" s="632"/>
      <c r="R395" s="632"/>
      <c r="S395" s="628"/>
      <c r="T395" s="628"/>
      <c r="U395" s="628"/>
      <c r="V395" s="628"/>
      <c r="W395" s="673"/>
      <c r="X395" s="673"/>
      <c r="Y395" s="673"/>
      <c r="Z395" s="673"/>
    </row>
    <row r="396" spans="1:26" ht="62.25" customHeight="1" x14ac:dyDescent="0.2">
      <c r="A396" s="627"/>
      <c r="B396" s="627"/>
      <c r="C396" s="627"/>
      <c r="D396" s="627"/>
      <c r="E396" s="627"/>
      <c r="F396" s="630"/>
      <c r="G396" s="630"/>
      <c r="H396" s="630"/>
      <c r="I396" s="631"/>
      <c r="J396" s="632"/>
      <c r="K396" s="633"/>
      <c r="L396" s="633"/>
      <c r="M396" s="633"/>
      <c r="N396" s="632"/>
      <c r="O396" s="632"/>
      <c r="P396" s="632"/>
      <c r="Q396" s="632"/>
      <c r="R396" s="632"/>
      <c r="S396" s="628"/>
      <c r="T396" s="628"/>
      <c r="U396" s="628"/>
      <c r="V396" s="628"/>
      <c r="W396" s="673"/>
      <c r="X396" s="673"/>
      <c r="Y396" s="673"/>
      <c r="Z396" s="673"/>
    </row>
    <row r="397" spans="1:26" ht="62.25" customHeight="1" x14ac:dyDescent="0.2">
      <c r="A397" s="627"/>
      <c r="B397" s="627"/>
      <c r="C397" s="627"/>
      <c r="D397" s="627"/>
      <c r="E397" s="627"/>
      <c r="F397" s="630"/>
      <c r="G397" s="630"/>
      <c r="H397" s="630"/>
      <c r="I397" s="631"/>
      <c r="J397" s="632"/>
      <c r="K397" s="633"/>
      <c r="L397" s="633"/>
      <c r="M397" s="633"/>
      <c r="N397" s="632"/>
      <c r="O397" s="632"/>
      <c r="P397" s="632"/>
      <c r="Q397" s="632"/>
      <c r="R397" s="632"/>
      <c r="S397" s="628"/>
      <c r="T397" s="628"/>
      <c r="U397" s="628"/>
      <c r="V397" s="628"/>
      <c r="W397" s="673"/>
      <c r="X397" s="673"/>
      <c r="Y397" s="673"/>
      <c r="Z397" s="673"/>
    </row>
    <row r="398" spans="1:26" ht="62.25" customHeight="1" x14ac:dyDescent="0.2">
      <c r="A398" s="627"/>
      <c r="B398" s="627"/>
      <c r="C398" s="627"/>
      <c r="D398" s="627"/>
      <c r="E398" s="627"/>
      <c r="F398" s="630"/>
      <c r="G398" s="630"/>
      <c r="H398" s="630"/>
      <c r="I398" s="631"/>
      <c r="J398" s="632"/>
      <c r="K398" s="633"/>
      <c r="L398" s="633"/>
      <c r="M398" s="633"/>
      <c r="N398" s="632"/>
      <c r="O398" s="632"/>
      <c r="P398" s="632"/>
      <c r="Q398" s="632"/>
      <c r="R398" s="632"/>
      <c r="S398" s="628"/>
      <c r="T398" s="628"/>
      <c r="U398" s="628"/>
      <c r="V398" s="628"/>
      <c r="W398" s="673"/>
      <c r="X398" s="673"/>
      <c r="Y398" s="673"/>
      <c r="Z398" s="673"/>
    </row>
    <row r="399" spans="1:26" ht="62.25" customHeight="1" x14ac:dyDescent="0.2">
      <c r="A399" s="627"/>
      <c r="B399" s="627"/>
      <c r="C399" s="627"/>
      <c r="D399" s="627"/>
      <c r="E399" s="627"/>
      <c r="F399" s="630"/>
      <c r="G399" s="630"/>
      <c r="H399" s="630"/>
      <c r="I399" s="631"/>
      <c r="J399" s="632"/>
      <c r="K399" s="633"/>
      <c r="L399" s="633"/>
      <c r="M399" s="633"/>
      <c r="N399" s="632"/>
      <c r="O399" s="632"/>
      <c r="P399" s="632"/>
      <c r="Q399" s="632"/>
      <c r="R399" s="632"/>
      <c r="S399" s="628"/>
      <c r="T399" s="628"/>
      <c r="U399" s="628"/>
      <c r="V399" s="628"/>
      <c r="W399" s="673"/>
      <c r="X399" s="673"/>
      <c r="Y399" s="673"/>
      <c r="Z399" s="673"/>
    </row>
    <row r="400" spans="1:26" ht="62.25" customHeight="1" x14ac:dyDescent="0.2">
      <c r="A400" s="627"/>
      <c r="B400" s="627"/>
      <c r="C400" s="627"/>
      <c r="D400" s="627"/>
      <c r="E400" s="627"/>
      <c r="F400" s="630"/>
      <c r="G400" s="630"/>
      <c r="H400" s="630"/>
      <c r="I400" s="631"/>
      <c r="J400" s="632"/>
      <c r="K400" s="633"/>
      <c r="L400" s="633"/>
      <c r="M400" s="633"/>
      <c r="N400" s="632"/>
      <c r="O400" s="632"/>
      <c r="P400" s="632"/>
      <c r="Q400" s="632"/>
      <c r="R400" s="632"/>
      <c r="S400" s="628"/>
      <c r="T400" s="628"/>
      <c r="U400" s="628"/>
      <c r="V400" s="628"/>
      <c r="W400" s="673"/>
      <c r="X400" s="673"/>
      <c r="Y400" s="673"/>
      <c r="Z400" s="673"/>
    </row>
    <row r="401" spans="1:26" ht="62.25" customHeight="1" x14ac:dyDescent="0.2">
      <c r="A401" s="627"/>
      <c r="B401" s="627"/>
      <c r="C401" s="627"/>
      <c r="D401" s="627"/>
      <c r="E401" s="627"/>
      <c r="F401" s="630"/>
      <c r="G401" s="630"/>
      <c r="H401" s="630"/>
      <c r="I401" s="631"/>
      <c r="J401" s="632"/>
      <c r="K401" s="633"/>
      <c r="L401" s="633"/>
      <c r="M401" s="633"/>
      <c r="N401" s="632"/>
      <c r="O401" s="632"/>
      <c r="P401" s="632"/>
      <c r="Q401" s="632"/>
      <c r="R401" s="632"/>
      <c r="S401" s="628"/>
      <c r="T401" s="628"/>
      <c r="U401" s="628"/>
      <c r="V401" s="628"/>
      <c r="W401" s="673"/>
      <c r="X401" s="673"/>
      <c r="Y401" s="673"/>
      <c r="Z401" s="673"/>
    </row>
    <row r="402" spans="1:26" ht="62.25" customHeight="1" x14ac:dyDescent="0.2">
      <c r="A402" s="627"/>
      <c r="B402" s="627"/>
      <c r="C402" s="627"/>
      <c r="D402" s="627"/>
      <c r="E402" s="627"/>
      <c r="F402" s="630"/>
      <c r="G402" s="630"/>
      <c r="H402" s="630"/>
      <c r="I402" s="631"/>
      <c r="J402" s="632"/>
      <c r="K402" s="633"/>
      <c r="L402" s="633"/>
      <c r="M402" s="633"/>
      <c r="N402" s="632"/>
      <c r="O402" s="632"/>
      <c r="P402" s="632"/>
      <c r="Q402" s="632"/>
      <c r="R402" s="632"/>
      <c r="S402" s="628"/>
      <c r="T402" s="628"/>
      <c r="U402" s="628"/>
      <c r="V402" s="628"/>
      <c r="W402" s="673"/>
      <c r="X402" s="673"/>
      <c r="Y402" s="673"/>
      <c r="Z402" s="673"/>
    </row>
    <row r="403" spans="1:26" ht="62.25" customHeight="1" x14ac:dyDescent="0.2">
      <c r="A403" s="627"/>
      <c r="B403" s="627"/>
      <c r="C403" s="627"/>
      <c r="D403" s="627"/>
      <c r="E403" s="627"/>
      <c r="F403" s="630"/>
      <c r="G403" s="630"/>
      <c r="H403" s="630"/>
      <c r="I403" s="631"/>
      <c r="J403" s="632"/>
      <c r="K403" s="633"/>
      <c r="L403" s="633"/>
      <c r="M403" s="633"/>
      <c r="N403" s="632"/>
      <c r="O403" s="632"/>
      <c r="P403" s="632"/>
      <c r="Q403" s="632"/>
      <c r="R403" s="632"/>
      <c r="S403" s="628"/>
      <c r="T403" s="628"/>
      <c r="U403" s="628"/>
      <c r="V403" s="628"/>
      <c r="W403" s="673"/>
      <c r="X403" s="673"/>
      <c r="Y403" s="673"/>
      <c r="Z403" s="673"/>
    </row>
    <row r="404" spans="1:26" ht="62.25" customHeight="1" x14ac:dyDescent="0.2">
      <c r="A404" s="627"/>
      <c r="B404" s="627"/>
      <c r="C404" s="627"/>
      <c r="D404" s="627"/>
      <c r="E404" s="627"/>
      <c r="F404" s="630"/>
      <c r="G404" s="630"/>
      <c r="H404" s="630"/>
      <c r="I404" s="631"/>
      <c r="J404" s="632"/>
      <c r="K404" s="633"/>
      <c r="L404" s="633"/>
      <c r="M404" s="633"/>
      <c r="N404" s="632"/>
      <c r="O404" s="632"/>
      <c r="P404" s="632"/>
      <c r="Q404" s="632"/>
      <c r="R404" s="632"/>
      <c r="S404" s="628"/>
      <c r="T404" s="628"/>
      <c r="U404" s="628"/>
      <c r="V404" s="628"/>
      <c r="W404" s="673"/>
      <c r="X404" s="673"/>
      <c r="Y404" s="673"/>
      <c r="Z404" s="673"/>
    </row>
    <row r="405" spans="1:26" ht="62.25" customHeight="1" x14ac:dyDescent="0.2">
      <c r="A405" s="627"/>
      <c r="B405" s="627"/>
      <c r="C405" s="627"/>
      <c r="D405" s="627"/>
      <c r="E405" s="627"/>
      <c r="F405" s="630"/>
      <c r="G405" s="630"/>
      <c r="H405" s="630"/>
      <c r="I405" s="631"/>
      <c r="J405" s="632"/>
      <c r="K405" s="633"/>
      <c r="L405" s="633"/>
      <c r="M405" s="633"/>
      <c r="N405" s="632"/>
      <c r="O405" s="632"/>
      <c r="P405" s="632"/>
      <c r="Q405" s="632"/>
      <c r="R405" s="632"/>
      <c r="S405" s="628"/>
      <c r="T405" s="628"/>
      <c r="U405" s="628"/>
      <c r="V405" s="628"/>
      <c r="W405" s="673"/>
      <c r="X405" s="673"/>
      <c r="Y405" s="673"/>
      <c r="Z405" s="673"/>
    </row>
    <row r="406" spans="1:26" ht="62.25" customHeight="1" x14ac:dyDescent="0.2">
      <c r="A406" s="627"/>
      <c r="B406" s="627"/>
      <c r="C406" s="627"/>
      <c r="D406" s="627"/>
      <c r="E406" s="627"/>
      <c r="F406" s="630"/>
      <c r="G406" s="630"/>
      <c r="H406" s="630"/>
      <c r="I406" s="631"/>
      <c r="J406" s="632"/>
      <c r="K406" s="633"/>
      <c r="L406" s="633"/>
      <c r="M406" s="633"/>
      <c r="N406" s="632"/>
      <c r="O406" s="632"/>
      <c r="P406" s="632"/>
      <c r="Q406" s="632"/>
      <c r="R406" s="632"/>
      <c r="S406" s="628"/>
      <c r="T406" s="628"/>
      <c r="U406" s="628"/>
      <c r="V406" s="628"/>
      <c r="W406" s="673"/>
      <c r="X406" s="673"/>
      <c r="Y406" s="673"/>
      <c r="Z406" s="673"/>
    </row>
    <row r="407" spans="1:26" ht="62.25" customHeight="1" x14ac:dyDescent="0.2">
      <c r="A407" s="627"/>
      <c r="B407" s="627"/>
      <c r="C407" s="627"/>
      <c r="D407" s="627"/>
      <c r="E407" s="627"/>
      <c r="F407" s="630"/>
      <c r="G407" s="630"/>
      <c r="H407" s="630"/>
      <c r="I407" s="631"/>
      <c r="J407" s="632"/>
      <c r="K407" s="633"/>
      <c r="L407" s="633"/>
      <c r="M407" s="633"/>
      <c r="N407" s="632"/>
      <c r="O407" s="632"/>
      <c r="P407" s="632"/>
      <c r="Q407" s="632"/>
      <c r="R407" s="632"/>
      <c r="S407" s="628"/>
      <c r="T407" s="628"/>
      <c r="U407" s="628"/>
      <c r="V407" s="628"/>
      <c r="W407" s="673"/>
      <c r="X407" s="673"/>
      <c r="Y407" s="673"/>
      <c r="Z407" s="673"/>
    </row>
    <row r="408" spans="1:26" ht="62.25" customHeight="1" x14ac:dyDescent="0.2">
      <c r="A408" s="627"/>
      <c r="B408" s="627"/>
      <c r="C408" s="627"/>
      <c r="D408" s="627"/>
      <c r="E408" s="627"/>
      <c r="F408" s="630"/>
      <c r="G408" s="630"/>
      <c r="H408" s="630"/>
      <c r="I408" s="631"/>
      <c r="J408" s="632"/>
      <c r="K408" s="633"/>
      <c r="L408" s="633"/>
      <c r="M408" s="633"/>
      <c r="N408" s="632"/>
      <c r="O408" s="632"/>
      <c r="P408" s="632"/>
      <c r="Q408" s="632"/>
      <c r="R408" s="632"/>
      <c r="S408" s="628"/>
      <c r="T408" s="628"/>
      <c r="U408" s="628"/>
      <c r="V408" s="628"/>
      <c r="W408" s="673"/>
      <c r="X408" s="673"/>
      <c r="Y408" s="673"/>
      <c r="Z408" s="673"/>
    </row>
    <row r="409" spans="1:26" ht="62.25" customHeight="1" x14ac:dyDescent="0.2">
      <c r="A409" s="627"/>
      <c r="B409" s="627"/>
      <c r="C409" s="627"/>
      <c r="D409" s="627"/>
      <c r="E409" s="627"/>
      <c r="F409" s="630"/>
      <c r="G409" s="630"/>
      <c r="H409" s="630"/>
      <c r="I409" s="631"/>
      <c r="J409" s="632"/>
      <c r="K409" s="633"/>
      <c r="L409" s="633"/>
      <c r="M409" s="633"/>
      <c r="N409" s="632"/>
      <c r="O409" s="632"/>
      <c r="P409" s="632"/>
      <c r="Q409" s="632"/>
      <c r="R409" s="632"/>
      <c r="S409" s="628"/>
      <c r="T409" s="628"/>
      <c r="U409" s="628"/>
      <c r="V409" s="628"/>
      <c r="W409" s="673"/>
      <c r="X409" s="673"/>
      <c r="Y409" s="673"/>
      <c r="Z409" s="673"/>
    </row>
    <row r="410" spans="1:26" ht="62.25" customHeight="1" x14ac:dyDescent="0.2">
      <c r="A410" s="627"/>
      <c r="B410" s="627"/>
      <c r="C410" s="627"/>
      <c r="D410" s="627"/>
      <c r="E410" s="627"/>
      <c r="F410" s="630"/>
      <c r="G410" s="630"/>
      <c r="H410" s="630"/>
      <c r="I410" s="631"/>
      <c r="J410" s="632"/>
      <c r="K410" s="633"/>
      <c r="L410" s="633"/>
      <c r="M410" s="633"/>
      <c r="N410" s="632"/>
      <c r="O410" s="632"/>
      <c r="P410" s="632"/>
      <c r="Q410" s="632"/>
      <c r="R410" s="632"/>
      <c r="S410" s="628"/>
      <c r="T410" s="628"/>
      <c r="U410" s="628"/>
      <c r="V410" s="628"/>
      <c r="W410" s="673"/>
      <c r="X410" s="673"/>
      <c r="Y410" s="673"/>
      <c r="Z410" s="673"/>
    </row>
    <row r="411" spans="1:26" ht="62.25" customHeight="1" x14ac:dyDescent="0.2">
      <c r="A411" s="627"/>
      <c r="B411" s="627"/>
      <c r="C411" s="627"/>
      <c r="D411" s="627"/>
      <c r="E411" s="627"/>
      <c r="F411" s="630"/>
      <c r="G411" s="630"/>
      <c r="H411" s="630"/>
      <c r="I411" s="631"/>
      <c r="J411" s="632"/>
      <c r="K411" s="633"/>
      <c r="L411" s="633"/>
      <c r="M411" s="633"/>
      <c r="N411" s="632"/>
      <c r="O411" s="632"/>
      <c r="P411" s="632"/>
      <c r="Q411" s="632"/>
      <c r="R411" s="632"/>
      <c r="S411" s="628"/>
      <c r="T411" s="628"/>
      <c r="U411" s="628"/>
      <c r="V411" s="628"/>
      <c r="W411" s="673"/>
      <c r="X411" s="673"/>
      <c r="Y411" s="673"/>
      <c r="Z411" s="673"/>
    </row>
    <row r="412" spans="1:26" ht="62.25" customHeight="1" x14ac:dyDescent="0.2">
      <c r="A412" s="627"/>
      <c r="B412" s="627"/>
      <c r="C412" s="627"/>
      <c r="D412" s="627"/>
      <c r="E412" s="627"/>
      <c r="F412" s="630"/>
      <c r="G412" s="630"/>
      <c r="H412" s="630"/>
      <c r="I412" s="631"/>
      <c r="J412" s="632"/>
      <c r="K412" s="633"/>
      <c r="L412" s="633"/>
      <c r="M412" s="633"/>
      <c r="N412" s="632"/>
      <c r="O412" s="632"/>
      <c r="P412" s="632"/>
      <c r="Q412" s="632"/>
      <c r="R412" s="632"/>
      <c r="S412" s="628"/>
      <c r="T412" s="628"/>
      <c r="U412" s="628"/>
      <c r="V412" s="628"/>
      <c r="W412" s="673"/>
      <c r="X412" s="673"/>
      <c r="Y412" s="673"/>
      <c r="Z412" s="673"/>
    </row>
    <row r="413" spans="1:26" ht="62.25" customHeight="1" x14ac:dyDescent="0.2">
      <c r="A413" s="627"/>
      <c r="B413" s="627"/>
      <c r="C413" s="627"/>
      <c r="D413" s="627"/>
      <c r="E413" s="627"/>
      <c r="F413" s="630"/>
      <c r="G413" s="630"/>
      <c r="H413" s="630"/>
      <c r="I413" s="631"/>
      <c r="J413" s="632"/>
      <c r="K413" s="633"/>
      <c r="L413" s="633"/>
      <c r="M413" s="633"/>
      <c r="N413" s="632"/>
      <c r="O413" s="632"/>
      <c r="P413" s="632"/>
      <c r="Q413" s="632"/>
      <c r="R413" s="632"/>
      <c r="S413" s="628"/>
      <c r="T413" s="628"/>
      <c r="U413" s="628"/>
      <c r="V413" s="628"/>
      <c r="W413" s="673"/>
      <c r="X413" s="673"/>
      <c r="Y413" s="673"/>
      <c r="Z413" s="673"/>
    </row>
    <row r="414" spans="1:26" ht="62.25" customHeight="1" x14ac:dyDescent="0.2">
      <c r="A414" s="627"/>
      <c r="B414" s="627"/>
      <c r="C414" s="627"/>
      <c r="D414" s="627"/>
      <c r="E414" s="627"/>
      <c r="F414" s="630"/>
      <c r="G414" s="630"/>
      <c r="H414" s="630"/>
      <c r="I414" s="631"/>
      <c r="J414" s="632"/>
      <c r="K414" s="633"/>
      <c r="L414" s="633"/>
      <c r="M414" s="633"/>
      <c r="N414" s="632"/>
      <c r="O414" s="632"/>
      <c r="P414" s="632"/>
      <c r="Q414" s="632"/>
      <c r="R414" s="632"/>
      <c r="S414" s="628"/>
      <c r="T414" s="628"/>
      <c r="U414" s="628"/>
      <c r="V414" s="628"/>
      <c r="W414" s="673"/>
      <c r="X414" s="673"/>
      <c r="Y414" s="673"/>
      <c r="Z414" s="673"/>
    </row>
    <row r="415" spans="1:26" ht="62.25" customHeight="1" x14ac:dyDescent="0.2">
      <c r="A415" s="627"/>
      <c r="B415" s="627"/>
      <c r="C415" s="627"/>
      <c r="D415" s="627"/>
      <c r="E415" s="627"/>
      <c r="F415" s="630"/>
      <c r="G415" s="630"/>
      <c r="H415" s="630"/>
      <c r="I415" s="631"/>
      <c r="J415" s="632"/>
      <c r="K415" s="633"/>
      <c r="L415" s="633"/>
      <c r="M415" s="633"/>
      <c r="N415" s="632"/>
      <c r="O415" s="632"/>
      <c r="P415" s="632"/>
      <c r="Q415" s="632"/>
      <c r="R415" s="632"/>
      <c r="S415" s="628"/>
      <c r="T415" s="628"/>
      <c r="U415" s="628"/>
      <c r="V415" s="628"/>
      <c r="W415" s="673"/>
      <c r="X415" s="673"/>
      <c r="Y415" s="673"/>
      <c r="Z415" s="673"/>
    </row>
    <row r="416" spans="1:26" ht="62.25" customHeight="1" x14ac:dyDescent="0.2">
      <c r="A416" s="627"/>
      <c r="B416" s="627"/>
      <c r="C416" s="627"/>
      <c r="D416" s="627"/>
      <c r="E416" s="627"/>
      <c r="F416" s="630"/>
      <c r="G416" s="630"/>
      <c r="H416" s="630"/>
      <c r="I416" s="631"/>
      <c r="J416" s="632"/>
      <c r="K416" s="633"/>
      <c r="L416" s="633"/>
      <c r="M416" s="633"/>
      <c r="N416" s="632"/>
      <c r="O416" s="632"/>
      <c r="P416" s="632"/>
      <c r="Q416" s="632"/>
      <c r="R416" s="632"/>
      <c r="S416" s="628"/>
      <c r="T416" s="628"/>
      <c r="U416" s="628"/>
      <c r="V416" s="628"/>
      <c r="W416" s="673"/>
      <c r="X416" s="673"/>
      <c r="Y416" s="673"/>
      <c r="Z416" s="673"/>
    </row>
    <row r="417" spans="1:26" ht="62.25" customHeight="1" x14ac:dyDescent="0.2">
      <c r="A417" s="627"/>
      <c r="B417" s="627"/>
      <c r="C417" s="627"/>
      <c r="D417" s="627"/>
      <c r="E417" s="627"/>
      <c r="F417" s="630"/>
      <c r="G417" s="630"/>
      <c r="H417" s="630"/>
      <c r="I417" s="631"/>
      <c r="J417" s="632"/>
      <c r="K417" s="633"/>
      <c r="L417" s="633"/>
      <c r="M417" s="633"/>
      <c r="N417" s="632"/>
      <c r="O417" s="632"/>
      <c r="P417" s="632"/>
      <c r="Q417" s="632"/>
      <c r="R417" s="632"/>
      <c r="S417" s="628"/>
      <c r="T417" s="628"/>
      <c r="U417" s="628"/>
      <c r="V417" s="628"/>
      <c r="W417" s="673"/>
      <c r="X417" s="673"/>
      <c r="Y417" s="673"/>
      <c r="Z417" s="673"/>
    </row>
    <row r="418" spans="1:26" ht="62.25" customHeight="1" x14ac:dyDescent="0.2">
      <c r="A418" s="627"/>
      <c r="B418" s="627"/>
      <c r="C418" s="627"/>
      <c r="D418" s="627"/>
      <c r="E418" s="627"/>
      <c r="F418" s="630"/>
      <c r="G418" s="630"/>
      <c r="H418" s="630"/>
      <c r="I418" s="631"/>
      <c r="J418" s="632"/>
      <c r="K418" s="633"/>
      <c r="L418" s="633"/>
      <c r="M418" s="633"/>
      <c r="N418" s="632"/>
      <c r="O418" s="632"/>
      <c r="P418" s="632"/>
      <c r="Q418" s="632"/>
      <c r="R418" s="632"/>
      <c r="S418" s="628"/>
      <c r="T418" s="628"/>
      <c r="U418" s="628"/>
      <c r="V418" s="628"/>
      <c r="W418" s="673"/>
      <c r="X418" s="673"/>
      <c r="Y418" s="673"/>
      <c r="Z418" s="673"/>
    </row>
    <row r="419" spans="1:26" ht="62.25" customHeight="1" x14ac:dyDescent="0.2">
      <c r="A419" s="627"/>
      <c r="B419" s="627"/>
      <c r="C419" s="627"/>
      <c r="D419" s="627"/>
      <c r="E419" s="627"/>
      <c r="F419" s="630"/>
      <c r="G419" s="630"/>
      <c r="H419" s="630"/>
      <c r="I419" s="631"/>
      <c r="J419" s="632"/>
      <c r="K419" s="633"/>
      <c r="L419" s="633"/>
      <c r="M419" s="633"/>
      <c r="N419" s="632"/>
      <c r="O419" s="632"/>
      <c r="P419" s="632"/>
      <c r="Q419" s="632"/>
      <c r="R419" s="632"/>
      <c r="S419" s="628"/>
      <c r="T419" s="628"/>
      <c r="U419" s="628"/>
      <c r="V419" s="628"/>
      <c r="W419" s="673"/>
      <c r="X419" s="673"/>
      <c r="Y419" s="673"/>
      <c r="Z419" s="673"/>
    </row>
    <row r="420" spans="1:26" ht="62.25" customHeight="1" x14ac:dyDescent="0.2">
      <c r="A420" s="627"/>
      <c r="B420" s="627"/>
      <c r="C420" s="627"/>
      <c r="D420" s="627"/>
      <c r="E420" s="627"/>
      <c r="F420" s="630"/>
      <c r="G420" s="630"/>
      <c r="H420" s="630"/>
      <c r="I420" s="631"/>
      <c r="J420" s="632"/>
      <c r="K420" s="633"/>
      <c r="L420" s="633"/>
      <c r="M420" s="633"/>
      <c r="N420" s="632"/>
      <c r="O420" s="632"/>
      <c r="P420" s="632"/>
      <c r="Q420" s="632"/>
      <c r="R420" s="632"/>
      <c r="S420" s="628"/>
      <c r="T420" s="628"/>
      <c r="U420" s="628"/>
      <c r="V420" s="628"/>
      <c r="W420" s="673"/>
      <c r="X420" s="673"/>
      <c r="Y420" s="673"/>
      <c r="Z420" s="673"/>
    </row>
    <row r="421" spans="1:26" ht="62.25" customHeight="1" x14ac:dyDescent="0.2">
      <c r="A421" s="627"/>
      <c r="B421" s="627"/>
      <c r="C421" s="627"/>
      <c r="D421" s="627"/>
      <c r="E421" s="627"/>
      <c r="F421" s="630"/>
      <c r="G421" s="630"/>
      <c r="H421" s="630"/>
      <c r="I421" s="631"/>
      <c r="J421" s="632"/>
      <c r="K421" s="633"/>
      <c r="L421" s="633"/>
      <c r="M421" s="633"/>
      <c r="N421" s="632"/>
      <c r="O421" s="632"/>
      <c r="P421" s="632"/>
      <c r="Q421" s="632"/>
      <c r="R421" s="632"/>
      <c r="S421" s="628"/>
      <c r="T421" s="628"/>
      <c r="U421" s="628"/>
      <c r="V421" s="628"/>
      <c r="W421" s="673"/>
      <c r="X421" s="673"/>
      <c r="Y421" s="673"/>
      <c r="Z421" s="673"/>
    </row>
    <row r="422" spans="1:26" ht="62.25" customHeight="1" x14ac:dyDescent="0.2">
      <c r="A422" s="627"/>
      <c r="B422" s="627"/>
      <c r="C422" s="627"/>
      <c r="D422" s="627"/>
      <c r="E422" s="627"/>
      <c r="F422" s="630"/>
      <c r="G422" s="630"/>
      <c r="H422" s="630"/>
      <c r="I422" s="631"/>
      <c r="J422" s="632"/>
      <c r="K422" s="633"/>
      <c r="L422" s="633"/>
      <c r="M422" s="633"/>
      <c r="N422" s="632"/>
      <c r="O422" s="632"/>
      <c r="P422" s="632"/>
      <c r="Q422" s="632"/>
      <c r="R422" s="632"/>
      <c r="S422" s="628"/>
      <c r="T422" s="628"/>
      <c r="U422" s="628"/>
      <c r="V422" s="628"/>
      <c r="W422" s="673"/>
      <c r="X422" s="673"/>
      <c r="Y422" s="673"/>
      <c r="Z422" s="673"/>
    </row>
    <row r="423" spans="1:26" ht="62.25" customHeight="1" x14ac:dyDescent="0.2">
      <c r="A423" s="627"/>
      <c r="B423" s="627"/>
      <c r="C423" s="627"/>
      <c r="D423" s="627"/>
      <c r="E423" s="627"/>
      <c r="F423" s="630"/>
      <c r="G423" s="630"/>
      <c r="H423" s="630"/>
      <c r="I423" s="631"/>
      <c r="J423" s="632"/>
      <c r="K423" s="633"/>
      <c r="L423" s="633"/>
      <c r="M423" s="633"/>
      <c r="N423" s="632"/>
      <c r="O423" s="632"/>
      <c r="P423" s="632"/>
      <c r="Q423" s="632"/>
      <c r="R423" s="632"/>
      <c r="S423" s="628"/>
      <c r="T423" s="628"/>
      <c r="U423" s="628"/>
      <c r="V423" s="628"/>
      <c r="W423" s="673"/>
      <c r="X423" s="673"/>
      <c r="Y423" s="673"/>
      <c r="Z423" s="673"/>
    </row>
    <row r="424" spans="1:26" ht="62.25" customHeight="1" x14ac:dyDescent="0.2">
      <c r="A424" s="627"/>
      <c r="B424" s="627"/>
      <c r="C424" s="627"/>
      <c r="D424" s="627"/>
      <c r="E424" s="627"/>
      <c r="F424" s="630"/>
      <c r="G424" s="630"/>
      <c r="H424" s="630"/>
      <c r="I424" s="631"/>
      <c r="J424" s="632"/>
      <c r="K424" s="633"/>
      <c r="L424" s="633"/>
      <c r="M424" s="633"/>
      <c r="N424" s="632"/>
      <c r="O424" s="632"/>
      <c r="P424" s="632"/>
      <c r="Q424" s="632"/>
      <c r="R424" s="632"/>
      <c r="S424" s="628"/>
      <c r="T424" s="628"/>
      <c r="U424" s="628"/>
      <c r="V424" s="628"/>
      <c r="W424" s="673"/>
      <c r="X424" s="673"/>
      <c r="Y424" s="673"/>
      <c r="Z424" s="673"/>
    </row>
    <row r="425" spans="1:26" ht="62.25" customHeight="1" x14ac:dyDescent="0.2">
      <c r="A425" s="627"/>
      <c r="B425" s="627"/>
      <c r="C425" s="627"/>
      <c r="D425" s="627"/>
      <c r="E425" s="627"/>
      <c r="F425" s="630"/>
      <c r="G425" s="630"/>
      <c r="H425" s="630"/>
      <c r="I425" s="631"/>
      <c r="J425" s="632"/>
      <c r="K425" s="633"/>
      <c r="L425" s="633"/>
      <c r="M425" s="633"/>
      <c r="N425" s="632"/>
      <c r="O425" s="632"/>
      <c r="P425" s="632"/>
      <c r="Q425" s="632"/>
      <c r="R425" s="632"/>
      <c r="S425" s="628"/>
      <c r="T425" s="628"/>
      <c r="U425" s="628"/>
      <c r="V425" s="628"/>
      <c r="W425" s="673"/>
      <c r="X425" s="673"/>
      <c r="Y425" s="673"/>
      <c r="Z425" s="673"/>
    </row>
    <row r="426" spans="1:26" ht="62.25" customHeight="1" x14ac:dyDescent="0.2">
      <c r="A426" s="627"/>
      <c r="B426" s="627"/>
      <c r="C426" s="627"/>
      <c r="D426" s="627"/>
      <c r="E426" s="627"/>
      <c r="F426" s="630"/>
      <c r="G426" s="630"/>
      <c r="H426" s="630"/>
      <c r="I426" s="631"/>
      <c r="J426" s="632"/>
      <c r="K426" s="633"/>
      <c r="L426" s="633"/>
      <c r="M426" s="633"/>
      <c r="N426" s="632"/>
      <c r="O426" s="632"/>
      <c r="P426" s="632"/>
      <c r="Q426" s="632"/>
      <c r="R426" s="632"/>
      <c r="S426" s="628"/>
      <c r="T426" s="628"/>
      <c r="U426" s="628"/>
      <c r="V426" s="628"/>
      <c r="W426" s="673"/>
      <c r="X426" s="673"/>
      <c r="Y426" s="673"/>
      <c r="Z426" s="673"/>
    </row>
    <row r="427" spans="1:26" ht="62.25" customHeight="1" x14ac:dyDescent="0.2">
      <c r="A427" s="627"/>
      <c r="B427" s="627"/>
      <c r="C427" s="627"/>
      <c r="D427" s="627"/>
      <c r="E427" s="627"/>
      <c r="F427" s="630"/>
      <c r="G427" s="630"/>
      <c r="H427" s="630"/>
      <c r="I427" s="631"/>
      <c r="J427" s="632"/>
      <c r="K427" s="633"/>
      <c r="L427" s="633"/>
      <c r="M427" s="633"/>
      <c r="N427" s="632"/>
      <c r="O427" s="632"/>
      <c r="P427" s="632"/>
      <c r="Q427" s="632"/>
      <c r="R427" s="632"/>
      <c r="S427" s="628"/>
      <c r="T427" s="628"/>
      <c r="U427" s="628"/>
      <c r="V427" s="628"/>
      <c r="W427" s="673"/>
      <c r="X427" s="673"/>
      <c r="Y427" s="673"/>
      <c r="Z427" s="673"/>
    </row>
    <row r="428" spans="1:26" ht="62.25" customHeight="1" x14ac:dyDescent="0.2">
      <c r="A428" s="627"/>
      <c r="B428" s="627"/>
      <c r="C428" s="627"/>
      <c r="D428" s="627"/>
      <c r="E428" s="627"/>
      <c r="F428" s="630"/>
      <c r="G428" s="630"/>
      <c r="H428" s="630"/>
      <c r="I428" s="631"/>
      <c r="J428" s="632"/>
      <c r="K428" s="633"/>
      <c r="L428" s="633"/>
      <c r="M428" s="633"/>
      <c r="N428" s="632"/>
      <c r="O428" s="632"/>
      <c r="P428" s="632"/>
      <c r="Q428" s="632"/>
      <c r="R428" s="632"/>
      <c r="S428" s="628"/>
      <c r="T428" s="628"/>
      <c r="U428" s="628"/>
      <c r="V428" s="628"/>
      <c r="W428" s="673"/>
      <c r="X428" s="673"/>
      <c r="Y428" s="673"/>
      <c r="Z428" s="673"/>
    </row>
    <row r="429" spans="1:26" ht="62.25" customHeight="1" x14ac:dyDescent="0.2">
      <c r="A429" s="627"/>
      <c r="B429" s="627"/>
      <c r="C429" s="627"/>
      <c r="D429" s="627"/>
      <c r="E429" s="627"/>
      <c r="F429" s="630"/>
      <c r="G429" s="630"/>
      <c r="H429" s="630"/>
      <c r="I429" s="631"/>
      <c r="J429" s="632"/>
      <c r="K429" s="633"/>
      <c r="L429" s="633"/>
      <c r="M429" s="633"/>
      <c r="N429" s="632"/>
      <c r="O429" s="632"/>
      <c r="P429" s="632"/>
      <c r="Q429" s="632"/>
      <c r="R429" s="632"/>
      <c r="S429" s="628"/>
      <c r="T429" s="628"/>
      <c r="U429" s="628"/>
      <c r="V429" s="628"/>
      <c r="W429" s="673"/>
      <c r="X429" s="673"/>
      <c r="Y429" s="673"/>
      <c r="Z429" s="673"/>
    </row>
    <row r="430" spans="1:26" ht="62.25" customHeight="1" x14ac:dyDescent="0.2">
      <c r="A430" s="627"/>
      <c r="B430" s="627"/>
      <c r="C430" s="627"/>
      <c r="D430" s="627"/>
      <c r="E430" s="627"/>
      <c r="F430" s="630"/>
      <c r="G430" s="630"/>
      <c r="H430" s="630"/>
      <c r="I430" s="631"/>
      <c r="J430" s="632"/>
      <c r="K430" s="633"/>
      <c r="L430" s="633"/>
      <c r="M430" s="633"/>
      <c r="N430" s="632"/>
      <c r="O430" s="632"/>
      <c r="P430" s="632"/>
      <c r="Q430" s="632"/>
      <c r="R430" s="632"/>
      <c r="S430" s="628"/>
      <c r="T430" s="628"/>
      <c r="U430" s="628"/>
      <c r="V430" s="628"/>
      <c r="W430" s="673"/>
      <c r="X430" s="673"/>
      <c r="Y430" s="673"/>
      <c r="Z430" s="673"/>
    </row>
    <row r="431" spans="1:26" ht="62.25" customHeight="1" x14ac:dyDescent="0.2">
      <c r="A431" s="627"/>
      <c r="B431" s="627"/>
      <c r="C431" s="627"/>
      <c r="D431" s="627"/>
      <c r="E431" s="627"/>
      <c r="F431" s="630"/>
      <c r="G431" s="630"/>
      <c r="H431" s="630"/>
      <c r="I431" s="631"/>
      <c r="J431" s="632"/>
      <c r="K431" s="633"/>
      <c r="L431" s="633"/>
      <c r="M431" s="633"/>
      <c r="N431" s="632"/>
      <c r="O431" s="632"/>
      <c r="P431" s="632"/>
      <c r="Q431" s="632"/>
      <c r="R431" s="632"/>
      <c r="S431" s="628"/>
      <c r="T431" s="628"/>
      <c r="U431" s="628"/>
      <c r="V431" s="628"/>
      <c r="W431" s="673"/>
      <c r="X431" s="673"/>
      <c r="Y431" s="673"/>
      <c r="Z431" s="673"/>
    </row>
    <row r="432" spans="1:26" ht="62.25" customHeight="1" x14ac:dyDescent="0.2">
      <c r="A432" s="627"/>
      <c r="B432" s="627"/>
      <c r="C432" s="627"/>
      <c r="D432" s="627"/>
      <c r="E432" s="627"/>
      <c r="F432" s="630"/>
      <c r="G432" s="630"/>
      <c r="H432" s="630"/>
      <c r="I432" s="631"/>
      <c r="J432" s="632"/>
      <c r="K432" s="633"/>
      <c r="L432" s="633"/>
      <c r="M432" s="633"/>
      <c r="N432" s="632"/>
      <c r="O432" s="632"/>
      <c r="P432" s="632"/>
      <c r="Q432" s="632"/>
      <c r="R432" s="632"/>
      <c r="S432" s="628"/>
      <c r="T432" s="628"/>
      <c r="U432" s="628"/>
      <c r="V432" s="628"/>
      <c r="W432" s="673"/>
      <c r="X432" s="673"/>
      <c r="Y432" s="673"/>
      <c r="Z432" s="673"/>
    </row>
    <row r="433" spans="1:26" ht="62.25" customHeight="1" x14ac:dyDescent="0.2">
      <c r="A433" s="627"/>
      <c r="B433" s="627"/>
      <c r="C433" s="627"/>
      <c r="D433" s="627"/>
      <c r="E433" s="627"/>
      <c r="F433" s="630"/>
      <c r="G433" s="630"/>
      <c r="H433" s="630"/>
      <c r="I433" s="631"/>
      <c r="J433" s="632"/>
      <c r="K433" s="633"/>
      <c r="L433" s="633"/>
      <c r="M433" s="633"/>
      <c r="N433" s="632"/>
      <c r="O433" s="632"/>
      <c r="P433" s="632"/>
      <c r="Q433" s="632"/>
      <c r="R433" s="632"/>
      <c r="S433" s="628"/>
      <c r="T433" s="628"/>
      <c r="U433" s="628"/>
      <c r="V433" s="628"/>
      <c r="W433" s="673"/>
      <c r="X433" s="673"/>
      <c r="Y433" s="673"/>
      <c r="Z433" s="673"/>
    </row>
    <row r="434" spans="1:26" ht="62.25" customHeight="1" x14ac:dyDescent="0.2">
      <c r="A434" s="627"/>
      <c r="B434" s="627"/>
      <c r="C434" s="627"/>
      <c r="D434" s="627"/>
      <c r="E434" s="627"/>
      <c r="F434" s="630"/>
      <c r="G434" s="630"/>
      <c r="H434" s="630"/>
      <c r="I434" s="631"/>
      <c r="J434" s="632"/>
      <c r="K434" s="633"/>
      <c r="L434" s="633"/>
      <c r="M434" s="633"/>
      <c r="N434" s="632"/>
      <c r="O434" s="632"/>
      <c r="P434" s="632"/>
      <c r="Q434" s="632"/>
      <c r="R434" s="632"/>
      <c r="S434" s="628"/>
      <c r="T434" s="628"/>
      <c r="U434" s="628"/>
      <c r="V434" s="628"/>
      <c r="W434" s="673"/>
      <c r="X434" s="673"/>
      <c r="Y434" s="673"/>
      <c r="Z434" s="673"/>
    </row>
    <row r="435" spans="1:26" ht="62.25" customHeight="1" x14ac:dyDescent="0.2">
      <c r="A435" s="627"/>
      <c r="B435" s="627"/>
      <c r="C435" s="627"/>
      <c r="D435" s="627"/>
      <c r="E435" s="627"/>
      <c r="F435" s="630"/>
      <c r="G435" s="630"/>
      <c r="H435" s="630"/>
      <c r="I435" s="631"/>
      <c r="J435" s="632"/>
      <c r="K435" s="633"/>
      <c r="L435" s="633"/>
      <c r="M435" s="633"/>
      <c r="N435" s="632"/>
      <c r="O435" s="632"/>
      <c r="P435" s="632"/>
      <c r="Q435" s="632"/>
      <c r="R435" s="632"/>
      <c r="S435" s="628"/>
      <c r="T435" s="628"/>
      <c r="U435" s="628"/>
      <c r="V435" s="628"/>
      <c r="W435" s="673"/>
      <c r="X435" s="673"/>
      <c r="Y435" s="673"/>
      <c r="Z435" s="673"/>
    </row>
    <row r="436" spans="1:26" ht="62.25" customHeight="1" x14ac:dyDescent="0.2">
      <c r="A436" s="627"/>
      <c r="B436" s="627"/>
      <c r="C436" s="627"/>
      <c r="D436" s="627"/>
      <c r="E436" s="627"/>
      <c r="F436" s="630"/>
      <c r="G436" s="630"/>
      <c r="H436" s="630"/>
      <c r="I436" s="631"/>
      <c r="J436" s="632"/>
      <c r="K436" s="633"/>
      <c r="L436" s="633"/>
      <c r="M436" s="633"/>
      <c r="N436" s="632"/>
      <c r="O436" s="632"/>
      <c r="P436" s="632"/>
      <c r="Q436" s="632"/>
      <c r="R436" s="632"/>
      <c r="S436" s="628"/>
      <c r="T436" s="628"/>
      <c r="U436" s="628"/>
      <c r="V436" s="628"/>
      <c r="W436" s="673"/>
      <c r="X436" s="673"/>
      <c r="Y436" s="673"/>
      <c r="Z436" s="673"/>
    </row>
    <row r="437" spans="1:26" ht="62.25" customHeight="1" x14ac:dyDescent="0.2">
      <c r="A437" s="627"/>
      <c r="B437" s="627"/>
      <c r="C437" s="627"/>
      <c r="D437" s="627"/>
      <c r="E437" s="627"/>
      <c r="F437" s="630"/>
      <c r="G437" s="630"/>
      <c r="H437" s="630"/>
      <c r="I437" s="631"/>
      <c r="J437" s="632"/>
      <c r="K437" s="633"/>
      <c r="L437" s="633"/>
      <c r="M437" s="633"/>
      <c r="N437" s="632"/>
      <c r="O437" s="632"/>
      <c r="P437" s="632"/>
      <c r="Q437" s="632"/>
      <c r="R437" s="632"/>
      <c r="S437" s="628"/>
      <c r="T437" s="628"/>
      <c r="U437" s="628"/>
      <c r="V437" s="628"/>
      <c r="W437" s="673"/>
      <c r="X437" s="673"/>
      <c r="Y437" s="673"/>
      <c r="Z437" s="673"/>
    </row>
    <row r="438" spans="1:26" ht="62.25" customHeight="1" x14ac:dyDescent="0.2">
      <c r="A438" s="627"/>
      <c r="B438" s="627"/>
      <c r="C438" s="627"/>
      <c r="D438" s="627"/>
      <c r="E438" s="627"/>
      <c r="F438" s="630"/>
      <c r="G438" s="630"/>
      <c r="H438" s="630"/>
      <c r="I438" s="631"/>
      <c r="J438" s="632"/>
      <c r="K438" s="633"/>
      <c r="L438" s="633"/>
      <c r="M438" s="633"/>
      <c r="N438" s="632"/>
      <c r="O438" s="632"/>
      <c r="P438" s="632"/>
      <c r="Q438" s="632"/>
      <c r="R438" s="632"/>
      <c r="S438" s="628"/>
      <c r="T438" s="628"/>
      <c r="U438" s="628"/>
      <c r="V438" s="628"/>
      <c r="W438" s="673"/>
      <c r="X438" s="673"/>
      <c r="Y438" s="673"/>
      <c r="Z438" s="673"/>
    </row>
    <row r="439" spans="1:26" ht="62.25" customHeight="1" x14ac:dyDescent="0.2">
      <c r="A439" s="627"/>
      <c r="B439" s="627"/>
      <c r="C439" s="627"/>
      <c r="D439" s="627"/>
      <c r="E439" s="627"/>
      <c r="F439" s="630"/>
      <c r="G439" s="630"/>
      <c r="H439" s="630"/>
      <c r="I439" s="631"/>
      <c r="J439" s="632"/>
      <c r="K439" s="633"/>
      <c r="L439" s="633"/>
      <c r="M439" s="633"/>
      <c r="N439" s="632"/>
      <c r="O439" s="632"/>
      <c r="P439" s="632"/>
      <c r="Q439" s="632"/>
      <c r="R439" s="632"/>
      <c r="S439" s="628"/>
      <c r="T439" s="628"/>
      <c r="U439" s="628"/>
      <c r="V439" s="628"/>
      <c r="W439" s="673"/>
      <c r="X439" s="673"/>
      <c r="Y439" s="673"/>
      <c r="Z439" s="673"/>
    </row>
    <row r="440" spans="1:26" ht="62.25" customHeight="1" x14ac:dyDescent="0.2">
      <c r="A440" s="627"/>
      <c r="B440" s="627"/>
      <c r="C440" s="627"/>
      <c r="D440" s="627"/>
      <c r="E440" s="627"/>
      <c r="F440" s="630"/>
      <c r="G440" s="630"/>
      <c r="H440" s="630"/>
      <c r="I440" s="631"/>
      <c r="J440" s="632"/>
      <c r="K440" s="633"/>
      <c r="L440" s="633"/>
      <c r="M440" s="633"/>
      <c r="N440" s="632"/>
      <c r="O440" s="632"/>
      <c r="P440" s="632"/>
      <c r="Q440" s="632"/>
      <c r="R440" s="632"/>
      <c r="S440" s="628"/>
      <c r="T440" s="628"/>
      <c r="U440" s="628"/>
      <c r="V440" s="628"/>
      <c r="W440" s="673"/>
      <c r="X440" s="673"/>
      <c r="Y440" s="673"/>
      <c r="Z440" s="673"/>
    </row>
    <row r="441" spans="1:26" ht="62.25" customHeight="1" x14ac:dyDescent="0.2">
      <c r="A441" s="627"/>
      <c r="B441" s="627"/>
      <c r="C441" s="627"/>
      <c r="D441" s="627"/>
      <c r="E441" s="627"/>
      <c r="F441" s="630"/>
      <c r="G441" s="630"/>
      <c r="H441" s="630"/>
      <c r="I441" s="631"/>
      <c r="J441" s="632"/>
      <c r="K441" s="633"/>
      <c r="L441" s="633"/>
      <c r="M441" s="633"/>
      <c r="N441" s="632"/>
      <c r="O441" s="632"/>
      <c r="P441" s="632"/>
      <c r="Q441" s="632"/>
      <c r="R441" s="632"/>
      <c r="S441" s="628"/>
      <c r="T441" s="628"/>
      <c r="U441" s="628"/>
      <c r="V441" s="628"/>
      <c r="W441" s="673"/>
      <c r="X441" s="673"/>
      <c r="Y441" s="673"/>
      <c r="Z441" s="673"/>
    </row>
    <row r="442" spans="1:26" ht="62.25" customHeight="1" x14ac:dyDescent="0.2">
      <c r="A442" s="627"/>
      <c r="B442" s="627"/>
      <c r="C442" s="627"/>
      <c r="D442" s="627"/>
      <c r="E442" s="627"/>
      <c r="F442" s="630"/>
      <c r="G442" s="630"/>
      <c r="H442" s="630"/>
      <c r="I442" s="631"/>
      <c r="J442" s="632"/>
      <c r="K442" s="633"/>
      <c r="L442" s="633"/>
      <c r="M442" s="633"/>
      <c r="N442" s="632"/>
      <c r="O442" s="632"/>
      <c r="P442" s="632"/>
      <c r="Q442" s="632"/>
      <c r="R442" s="632"/>
      <c r="S442" s="628"/>
      <c r="T442" s="628"/>
      <c r="U442" s="628"/>
      <c r="V442" s="628"/>
      <c r="W442" s="673"/>
      <c r="X442" s="673"/>
      <c r="Y442" s="673"/>
      <c r="Z442" s="673"/>
    </row>
    <row r="443" spans="1:26" ht="62.25" customHeight="1" x14ac:dyDescent="0.2">
      <c r="A443" s="627"/>
      <c r="B443" s="627"/>
      <c r="C443" s="627"/>
      <c r="D443" s="627"/>
      <c r="E443" s="627"/>
      <c r="F443" s="630"/>
      <c r="G443" s="630"/>
      <c r="H443" s="630"/>
      <c r="I443" s="631"/>
      <c r="J443" s="632"/>
      <c r="K443" s="633"/>
      <c r="L443" s="633"/>
      <c r="M443" s="633"/>
      <c r="N443" s="632"/>
      <c r="O443" s="632"/>
      <c r="P443" s="632"/>
      <c r="Q443" s="632"/>
      <c r="R443" s="632"/>
      <c r="S443" s="628"/>
      <c r="T443" s="628"/>
      <c r="U443" s="628"/>
      <c r="V443" s="628"/>
      <c r="W443" s="673"/>
      <c r="X443" s="673"/>
      <c r="Y443" s="673"/>
      <c r="Z443" s="673"/>
    </row>
    <row r="444" spans="1:26" ht="62.25" customHeight="1" x14ac:dyDescent="0.2">
      <c r="A444" s="627"/>
      <c r="B444" s="627"/>
      <c r="C444" s="627"/>
      <c r="D444" s="627"/>
      <c r="E444" s="627"/>
      <c r="F444" s="630"/>
      <c r="G444" s="630"/>
      <c r="H444" s="630"/>
      <c r="I444" s="631"/>
      <c r="J444" s="632"/>
      <c r="K444" s="633"/>
      <c r="L444" s="633"/>
      <c r="M444" s="633"/>
      <c r="N444" s="632"/>
      <c r="O444" s="632"/>
      <c r="P444" s="632"/>
      <c r="Q444" s="632"/>
      <c r="R444" s="632"/>
      <c r="S444" s="628"/>
      <c r="T444" s="628"/>
      <c r="U444" s="628"/>
      <c r="V444" s="628"/>
      <c r="W444" s="673"/>
      <c r="X444" s="673"/>
      <c r="Y444" s="673"/>
      <c r="Z444" s="673"/>
    </row>
    <row r="445" spans="1:26" ht="62.25" customHeight="1" x14ac:dyDescent="0.2">
      <c r="A445" s="627"/>
      <c r="B445" s="627"/>
      <c r="C445" s="627"/>
      <c r="D445" s="627"/>
      <c r="E445" s="627"/>
      <c r="F445" s="630"/>
      <c r="G445" s="630"/>
      <c r="H445" s="630"/>
      <c r="I445" s="631"/>
      <c r="J445" s="632"/>
      <c r="K445" s="633"/>
      <c r="L445" s="633"/>
      <c r="M445" s="633"/>
      <c r="N445" s="632"/>
      <c r="O445" s="632"/>
      <c r="P445" s="632"/>
      <c r="Q445" s="632"/>
      <c r="R445" s="632"/>
      <c r="S445" s="628"/>
      <c r="T445" s="628"/>
      <c r="U445" s="628"/>
      <c r="V445" s="628"/>
      <c r="W445" s="673"/>
      <c r="X445" s="673"/>
      <c r="Y445" s="673"/>
      <c r="Z445" s="673"/>
    </row>
    <row r="446" spans="1:26" ht="62.25" customHeight="1" x14ac:dyDescent="0.2">
      <c r="A446" s="627"/>
      <c r="B446" s="627"/>
      <c r="C446" s="627"/>
      <c r="D446" s="627"/>
      <c r="E446" s="627"/>
      <c r="F446" s="630"/>
      <c r="G446" s="630"/>
      <c r="H446" s="630"/>
      <c r="I446" s="631"/>
      <c r="J446" s="632"/>
      <c r="K446" s="633"/>
      <c r="L446" s="633"/>
      <c r="M446" s="633"/>
      <c r="N446" s="632"/>
      <c r="O446" s="632"/>
      <c r="P446" s="632"/>
      <c r="Q446" s="632"/>
      <c r="R446" s="632"/>
      <c r="S446" s="628"/>
      <c r="T446" s="628"/>
      <c r="U446" s="628"/>
      <c r="V446" s="628"/>
      <c r="W446" s="673"/>
      <c r="X446" s="673"/>
      <c r="Y446" s="673"/>
      <c r="Z446" s="673"/>
    </row>
    <row r="447" spans="1:26" ht="62.25" customHeight="1" x14ac:dyDescent="0.2">
      <c r="A447" s="627"/>
      <c r="B447" s="627"/>
      <c r="C447" s="627"/>
      <c r="D447" s="627"/>
      <c r="E447" s="627"/>
      <c r="F447" s="630"/>
      <c r="G447" s="630"/>
      <c r="H447" s="630"/>
      <c r="I447" s="631"/>
      <c r="J447" s="632"/>
      <c r="K447" s="633"/>
      <c r="L447" s="633"/>
      <c r="M447" s="633"/>
      <c r="N447" s="632"/>
      <c r="O447" s="632"/>
      <c r="P447" s="632"/>
      <c r="Q447" s="632"/>
      <c r="R447" s="632"/>
      <c r="S447" s="628"/>
      <c r="T447" s="628"/>
      <c r="U447" s="628"/>
      <c r="V447" s="628"/>
      <c r="W447" s="673"/>
      <c r="X447" s="673"/>
      <c r="Y447" s="673"/>
      <c r="Z447" s="673"/>
    </row>
    <row r="448" spans="1:26" ht="62.25" customHeight="1" x14ac:dyDescent="0.2">
      <c r="A448" s="627"/>
      <c r="B448" s="627"/>
      <c r="C448" s="627"/>
      <c r="D448" s="627"/>
      <c r="E448" s="627"/>
      <c r="F448" s="630"/>
      <c r="G448" s="630"/>
      <c r="H448" s="630"/>
      <c r="I448" s="631"/>
      <c r="J448" s="632"/>
      <c r="K448" s="633"/>
      <c r="L448" s="633"/>
      <c r="M448" s="633"/>
      <c r="N448" s="632"/>
      <c r="O448" s="632"/>
      <c r="P448" s="632"/>
      <c r="Q448" s="632"/>
      <c r="R448" s="632"/>
      <c r="S448" s="628"/>
      <c r="T448" s="628"/>
      <c r="U448" s="628"/>
      <c r="V448" s="628"/>
      <c r="W448" s="673"/>
      <c r="X448" s="673"/>
      <c r="Y448" s="673"/>
      <c r="Z448" s="673"/>
    </row>
    <row r="449" spans="1:26" ht="62.25" customHeight="1" x14ac:dyDescent="0.2">
      <c r="A449" s="627"/>
      <c r="B449" s="627"/>
      <c r="C449" s="627"/>
      <c r="D449" s="627"/>
      <c r="E449" s="627"/>
      <c r="F449" s="630"/>
      <c r="G449" s="630"/>
      <c r="H449" s="630"/>
      <c r="I449" s="631"/>
      <c r="J449" s="632"/>
      <c r="K449" s="633"/>
      <c r="L449" s="633"/>
      <c r="M449" s="633"/>
      <c r="N449" s="632"/>
      <c r="O449" s="632"/>
      <c r="P449" s="632"/>
      <c r="Q449" s="632"/>
      <c r="R449" s="632"/>
      <c r="S449" s="628"/>
      <c r="T449" s="628"/>
      <c r="U449" s="628"/>
      <c r="V449" s="628"/>
      <c r="W449" s="673"/>
      <c r="X449" s="673"/>
      <c r="Y449" s="673"/>
      <c r="Z449" s="673"/>
    </row>
    <row r="450" spans="1:26" ht="62.25" customHeight="1" x14ac:dyDescent="0.2">
      <c r="A450" s="627"/>
      <c r="B450" s="627"/>
      <c r="C450" s="627"/>
      <c r="D450" s="627"/>
      <c r="E450" s="627"/>
      <c r="F450" s="630"/>
      <c r="G450" s="630"/>
      <c r="H450" s="630"/>
      <c r="I450" s="631"/>
      <c r="J450" s="632"/>
      <c r="K450" s="633"/>
      <c r="L450" s="633"/>
      <c r="M450" s="633"/>
      <c r="N450" s="632"/>
      <c r="O450" s="632"/>
      <c r="P450" s="632"/>
      <c r="Q450" s="632"/>
      <c r="R450" s="632"/>
      <c r="S450" s="628"/>
      <c r="T450" s="628"/>
      <c r="U450" s="628"/>
      <c r="V450" s="628"/>
      <c r="W450" s="673"/>
      <c r="X450" s="673"/>
      <c r="Y450" s="673"/>
      <c r="Z450" s="673"/>
    </row>
    <row r="451" spans="1:26" ht="62.25" customHeight="1" x14ac:dyDescent="0.2">
      <c r="A451" s="627"/>
      <c r="B451" s="627"/>
      <c r="C451" s="627"/>
      <c r="D451" s="627"/>
      <c r="E451" s="627"/>
      <c r="F451" s="630"/>
      <c r="G451" s="630"/>
      <c r="H451" s="630"/>
      <c r="I451" s="631"/>
      <c r="J451" s="632"/>
      <c r="K451" s="633"/>
      <c r="L451" s="633"/>
      <c r="M451" s="633"/>
      <c r="N451" s="632"/>
      <c r="O451" s="632"/>
      <c r="P451" s="632"/>
      <c r="Q451" s="632"/>
      <c r="R451" s="632"/>
      <c r="S451" s="628"/>
      <c r="T451" s="628"/>
      <c r="U451" s="628"/>
      <c r="V451" s="628"/>
      <c r="W451" s="673"/>
      <c r="X451" s="673"/>
      <c r="Y451" s="673"/>
      <c r="Z451" s="673"/>
    </row>
    <row r="452" spans="1:26" ht="62.25" customHeight="1" x14ac:dyDescent="0.2">
      <c r="A452" s="627"/>
      <c r="B452" s="627"/>
      <c r="C452" s="627"/>
      <c r="D452" s="627"/>
      <c r="E452" s="627"/>
      <c r="F452" s="630"/>
      <c r="G452" s="630"/>
      <c r="H452" s="630"/>
      <c r="I452" s="631"/>
      <c r="J452" s="632"/>
      <c r="K452" s="633"/>
      <c r="L452" s="633"/>
      <c r="M452" s="633"/>
      <c r="N452" s="632"/>
      <c r="O452" s="632"/>
      <c r="P452" s="632"/>
      <c r="Q452" s="632"/>
      <c r="R452" s="632"/>
      <c r="S452" s="628"/>
      <c r="T452" s="628"/>
      <c r="U452" s="628"/>
      <c r="V452" s="628"/>
      <c r="W452" s="673"/>
      <c r="X452" s="673"/>
      <c r="Y452" s="673"/>
      <c r="Z452" s="673"/>
    </row>
    <row r="453" spans="1:26" ht="62.25" customHeight="1" x14ac:dyDescent="0.2">
      <c r="A453" s="627"/>
      <c r="B453" s="627"/>
      <c r="C453" s="627"/>
      <c r="D453" s="627"/>
      <c r="E453" s="627"/>
      <c r="F453" s="630"/>
      <c r="G453" s="630"/>
      <c r="H453" s="630"/>
      <c r="I453" s="631"/>
      <c r="J453" s="632"/>
      <c r="K453" s="633"/>
      <c r="L453" s="633"/>
      <c r="M453" s="633"/>
      <c r="N453" s="632"/>
      <c r="O453" s="632"/>
      <c r="P453" s="632"/>
      <c r="Q453" s="632"/>
      <c r="R453" s="632"/>
      <c r="S453" s="628"/>
      <c r="T453" s="628"/>
      <c r="U453" s="628"/>
      <c r="V453" s="628"/>
      <c r="W453" s="673"/>
      <c r="X453" s="673"/>
      <c r="Y453" s="673"/>
      <c r="Z453" s="673"/>
    </row>
    <row r="454" spans="1:26" ht="62.25" customHeight="1" x14ac:dyDescent="0.2">
      <c r="A454" s="627"/>
      <c r="B454" s="627"/>
      <c r="C454" s="627"/>
      <c r="D454" s="627"/>
      <c r="E454" s="627"/>
      <c r="F454" s="630"/>
      <c r="G454" s="630"/>
      <c r="H454" s="630"/>
      <c r="I454" s="631"/>
      <c r="J454" s="632"/>
      <c r="K454" s="633"/>
      <c r="L454" s="633"/>
      <c r="M454" s="633"/>
      <c r="N454" s="632"/>
      <c r="O454" s="632"/>
      <c r="P454" s="632"/>
      <c r="Q454" s="632"/>
      <c r="R454" s="632"/>
      <c r="S454" s="628"/>
      <c r="T454" s="628"/>
      <c r="U454" s="628"/>
      <c r="V454" s="628"/>
      <c r="W454" s="673"/>
      <c r="X454" s="673"/>
      <c r="Y454" s="673"/>
      <c r="Z454" s="673"/>
    </row>
    <row r="455" spans="1:26" ht="62.25" customHeight="1" x14ac:dyDescent="0.2">
      <c r="A455" s="627"/>
      <c r="B455" s="627"/>
      <c r="C455" s="627"/>
      <c r="D455" s="627"/>
      <c r="E455" s="627"/>
      <c r="F455" s="630"/>
      <c r="G455" s="630"/>
      <c r="H455" s="630"/>
      <c r="I455" s="631"/>
      <c r="J455" s="632"/>
      <c r="K455" s="633"/>
      <c r="L455" s="633"/>
      <c r="M455" s="633"/>
      <c r="N455" s="632"/>
      <c r="O455" s="632"/>
      <c r="P455" s="632"/>
      <c r="Q455" s="632"/>
      <c r="R455" s="632"/>
      <c r="S455" s="628"/>
      <c r="T455" s="628"/>
      <c r="U455" s="628"/>
      <c r="V455" s="628"/>
      <c r="W455" s="673"/>
      <c r="X455" s="673"/>
      <c r="Y455" s="673"/>
      <c r="Z455" s="673"/>
    </row>
    <row r="456" spans="1:26" ht="62.25" customHeight="1" x14ac:dyDescent="0.2">
      <c r="A456" s="627"/>
      <c r="B456" s="627"/>
      <c r="C456" s="627"/>
      <c r="D456" s="627"/>
      <c r="E456" s="627"/>
      <c r="F456" s="630"/>
      <c r="G456" s="630"/>
      <c r="H456" s="630"/>
      <c r="I456" s="631"/>
      <c r="J456" s="632"/>
      <c r="K456" s="633"/>
      <c r="L456" s="633"/>
      <c r="M456" s="633"/>
      <c r="N456" s="632"/>
      <c r="O456" s="632"/>
      <c r="P456" s="632"/>
      <c r="Q456" s="632"/>
      <c r="R456" s="632"/>
      <c r="S456" s="628"/>
      <c r="T456" s="628"/>
      <c r="U456" s="628"/>
      <c r="V456" s="628"/>
      <c r="W456" s="673"/>
      <c r="X456" s="673"/>
      <c r="Y456" s="673"/>
      <c r="Z456" s="673"/>
    </row>
    <row r="457" spans="1:26" ht="62.25" customHeight="1" x14ac:dyDescent="0.2">
      <c r="A457" s="627"/>
      <c r="B457" s="627"/>
      <c r="C457" s="627"/>
      <c r="D457" s="627"/>
      <c r="E457" s="627"/>
      <c r="F457" s="630"/>
      <c r="G457" s="630"/>
      <c r="H457" s="630"/>
      <c r="I457" s="631"/>
      <c r="J457" s="632"/>
      <c r="K457" s="633"/>
      <c r="L457" s="633"/>
      <c r="M457" s="633"/>
      <c r="N457" s="632"/>
      <c r="O457" s="632"/>
      <c r="P457" s="632"/>
      <c r="Q457" s="632"/>
      <c r="R457" s="632"/>
      <c r="S457" s="628"/>
      <c r="T457" s="628"/>
      <c r="U457" s="628"/>
      <c r="V457" s="628"/>
      <c r="W457" s="673"/>
      <c r="X457" s="673"/>
      <c r="Y457" s="673"/>
      <c r="Z457" s="673"/>
    </row>
    <row r="458" spans="1:26" ht="62.25" customHeight="1" x14ac:dyDescent="0.2">
      <c r="A458" s="627"/>
      <c r="B458" s="627"/>
      <c r="C458" s="627"/>
      <c r="D458" s="627"/>
      <c r="E458" s="627"/>
      <c r="F458" s="630"/>
      <c r="G458" s="630"/>
      <c r="H458" s="630"/>
      <c r="I458" s="631"/>
      <c r="J458" s="632"/>
      <c r="K458" s="633"/>
      <c r="L458" s="633"/>
      <c r="M458" s="633"/>
      <c r="N458" s="632"/>
      <c r="O458" s="632"/>
      <c r="P458" s="632"/>
      <c r="Q458" s="632"/>
      <c r="R458" s="632"/>
      <c r="S458" s="628"/>
      <c r="T458" s="628"/>
      <c r="U458" s="628"/>
      <c r="V458" s="628"/>
      <c r="W458" s="673"/>
      <c r="X458" s="673"/>
      <c r="Y458" s="673"/>
      <c r="Z458" s="673"/>
    </row>
    <row r="459" spans="1:26" ht="62.25" customHeight="1" x14ac:dyDescent="0.2">
      <c r="A459" s="627"/>
      <c r="B459" s="627"/>
      <c r="C459" s="627"/>
      <c r="D459" s="627"/>
      <c r="E459" s="627"/>
      <c r="F459" s="630"/>
      <c r="G459" s="630"/>
      <c r="H459" s="630"/>
      <c r="I459" s="631"/>
      <c r="J459" s="632"/>
      <c r="K459" s="633"/>
      <c r="L459" s="633"/>
      <c r="M459" s="633"/>
      <c r="N459" s="632"/>
      <c r="O459" s="632"/>
      <c r="P459" s="632"/>
      <c r="Q459" s="632"/>
      <c r="R459" s="632"/>
      <c r="S459" s="628"/>
      <c r="T459" s="628"/>
      <c r="U459" s="628"/>
      <c r="V459" s="628"/>
      <c r="W459" s="673"/>
      <c r="X459" s="673"/>
      <c r="Y459" s="673"/>
      <c r="Z459" s="673"/>
    </row>
    <row r="460" spans="1:26" ht="62.25" customHeight="1" x14ac:dyDescent="0.2">
      <c r="A460" s="627"/>
      <c r="B460" s="627"/>
      <c r="C460" s="627"/>
      <c r="D460" s="627"/>
      <c r="E460" s="627"/>
      <c r="F460" s="630"/>
      <c r="G460" s="630"/>
      <c r="H460" s="630"/>
      <c r="I460" s="631"/>
      <c r="J460" s="632"/>
      <c r="K460" s="633"/>
      <c r="L460" s="633"/>
      <c r="M460" s="633"/>
      <c r="N460" s="632"/>
      <c r="O460" s="632"/>
      <c r="P460" s="632"/>
      <c r="Q460" s="632"/>
      <c r="R460" s="632"/>
      <c r="S460" s="628"/>
      <c r="T460" s="628"/>
      <c r="U460" s="628"/>
      <c r="V460" s="628"/>
      <c r="W460" s="673"/>
      <c r="X460" s="673"/>
      <c r="Y460" s="673"/>
      <c r="Z460" s="673"/>
    </row>
    <row r="461" spans="1:26" ht="62.25" customHeight="1" x14ac:dyDescent="0.2">
      <c r="A461" s="627"/>
      <c r="B461" s="627"/>
      <c r="C461" s="627"/>
      <c r="D461" s="627"/>
      <c r="E461" s="627"/>
      <c r="F461" s="630"/>
      <c r="G461" s="630"/>
      <c r="H461" s="630"/>
      <c r="I461" s="631"/>
      <c r="J461" s="632"/>
      <c r="K461" s="633"/>
      <c r="L461" s="633"/>
      <c r="M461" s="633"/>
      <c r="N461" s="632"/>
      <c r="O461" s="632"/>
      <c r="P461" s="632"/>
      <c r="Q461" s="632"/>
      <c r="R461" s="632"/>
      <c r="S461" s="628"/>
      <c r="T461" s="628"/>
      <c r="U461" s="628"/>
      <c r="V461" s="628"/>
      <c r="W461" s="673"/>
      <c r="X461" s="673"/>
      <c r="Y461" s="673"/>
      <c r="Z461" s="673"/>
    </row>
    <row r="462" spans="1:26" ht="62.25" customHeight="1" x14ac:dyDescent="0.2">
      <c r="A462" s="627"/>
      <c r="B462" s="627"/>
      <c r="C462" s="627"/>
      <c r="D462" s="627"/>
      <c r="E462" s="627"/>
      <c r="F462" s="630"/>
      <c r="G462" s="630"/>
      <c r="H462" s="630"/>
      <c r="I462" s="631"/>
      <c r="J462" s="632"/>
      <c r="K462" s="633"/>
      <c r="L462" s="633"/>
      <c r="M462" s="633"/>
      <c r="N462" s="632"/>
      <c r="O462" s="632"/>
      <c r="P462" s="632"/>
      <c r="Q462" s="632"/>
      <c r="R462" s="632"/>
      <c r="S462" s="628"/>
      <c r="T462" s="628"/>
      <c r="U462" s="628"/>
      <c r="V462" s="628"/>
      <c r="W462" s="673"/>
      <c r="X462" s="673"/>
      <c r="Y462" s="673"/>
      <c r="Z462" s="673"/>
    </row>
    <row r="463" spans="1:26" ht="62.25" customHeight="1" x14ac:dyDescent="0.2">
      <c r="A463" s="627"/>
      <c r="B463" s="627"/>
      <c r="C463" s="627"/>
      <c r="D463" s="627"/>
      <c r="E463" s="627"/>
      <c r="F463" s="630"/>
      <c r="G463" s="630"/>
      <c r="H463" s="630"/>
      <c r="I463" s="631"/>
      <c r="J463" s="632"/>
      <c r="K463" s="633"/>
      <c r="L463" s="633"/>
      <c r="M463" s="633"/>
      <c r="N463" s="632"/>
      <c r="O463" s="632"/>
      <c r="P463" s="632"/>
      <c r="Q463" s="632"/>
      <c r="R463" s="632"/>
      <c r="S463" s="628"/>
      <c r="T463" s="628"/>
      <c r="U463" s="628"/>
      <c r="V463" s="628"/>
      <c r="W463" s="673"/>
      <c r="X463" s="673"/>
      <c r="Y463" s="673"/>
      <c r="Z463" s="673"/>
    </row>
    <row r="464" spans="1:26" ht="62.25" customHeight="1" x14ac:dyDescent="0.2">
      <c r="A464" s="627"/>
      <c r="B464" s="627"/>
      <c r="C464" s="627"/>
      <c r="D464" s="627"/>
      <c r="E464" s="627"/>
      <c r="F464" s="630"/>
      <c r="G464" s="630"/>
      <c r="H464" s="630"/>
      <c r="I464" s="631"/>
      <c r="J464" s="632"/>
      <c r="K464" s="633"/>
      <c r="L464" s="633"/>
      <c r="M464" s="633"/>
      <c r="N464" s="632"/>
      <c r="O464" s="632"/>
      <c r="P464" s="632"/>
      <c r="Q464" s="632"/>
      <c r="R464" s="632"/>
      <c r="S464" s="628"/>
      <c r="T464" s="628"/>
      <c r="U464" s="628"/>
      <c r="V464" s="628"/>
      <c r="W464" s="673"/>
      <c r="X464" s="673"/>
      <c r="Y464" s="673"/>
      <c r="Z464" s="673"/>
    </row>
    <row r="465" spans="1:26" ht="62.25" customHeight="1" x14ac:dyDescent="0.2">
      <c r="A465" s="627"/>
      <c r="B465" s="627"/>
      <c r="C465" s="627"/>
      <c r="D465" s="627"/>
      <c r="E465" s="627"/>
      <c r="F465" s="630"/>
      <c r="G465" s="630"/>
      <c r="H465" s="630"/>
      <c r="I465" s="631"/>
      <c r="J465" s="632"/>
      <c r="K465" s="633"/>
      <c r="L465" s="633"/>
      <c r="M465" s="633"/>
      <c r="N465" s="632"/>
      <c r="O465" s="632"/>
      <c r="P465" s="632"/>
      <c r="Q465" s="632"/>
      <c r="R465" s="632"/>
      <c r="S465" s="628"/>
      <c r="T465" s="628"/>
      <c r="U465" s="628"/>
      <c r="V465" s="628"/>
      <c r="W465" s="673"/>
      <c r="X465" s="673"/>
      <c r="Y465" s="673"/>
      <c r="Z465" s="673"/>
    </row>
    <row r="466" spans="1:26" ht="62.25" customHeight="1" x14ac:dyDescent="0.2">
      <c r="A466" s="627"/>
      <c r="B466" s="627"/>
      <c r="C466" s="627"/>
      <c r="D466" s="627"/>
      <c r="E466" s="627"/>
      <c r="F466" s="630"/>
      <c r="G466" s="630"/>
      <c r="H466" s="630"/>
      <c r="I466" s="631"/>
      <c r="J466" s="632"/>
      <c r="K466" s="633"/>
      <c r="L466" s="633"/>
      <c r="M466" s="633"/>
      <c r="N466" s="632"/>
      <c r="O466" s="632"/>
      <c r="P466" s="632"/>
      <c r="Q466" s="632"/>
      <c r="R466" s="632"/>
      <c r="S466" s="628"/>
      <c r="T466" s="628"/>
      <c r="U466" s="628"/>
      <c r="V466" s="628"/>
      <c r="W466" s="673"/>
      <c r="X466" s="673"/>
      <c r="Y466" s="673"/>
      <c r="Z466" s="673"/>
    </row>
    <row r="467" spans="1:26" ht="62.25" customHeight="1" x14ac:dyDescent="0.2">
      <c r="A467" s="627"/>
      <c r="B467" s="627"/>
      <c r="C467" s="627"/>
      <c r="D467" s="627"/>
      <c r="E467" s="627"/>
      <c r="F467" s="630"/>
      <c r="G467" s="630"/>
      <c r="H467" s="630"/>
      <c r="I467" s="631"/>
      <c r="J467" s="632"/>
      <c r="K467" s="633"/>
      <c r="L467" s="633"/>
      <c r="M467" s="633"/>
      <c r="N467" s="632"/>
      <c r="O467" s="632"/>
      <c r="P467" s="632"/>
      <c r="Q467" s="632"/>
      <c r="R467" s="632"/>
      <c r="S467" s="628"/>
      <c r="T467" s="628"/>
      <c r="U467" s="628"/>
      <c r="V467" s="628"/>
      <c r="W467" s="673"/>
      <c r="X467" s="673"/>
      <c r="Y467" s="673"/>
      <c r="Z467" s="673"/>
    </row>
    <row r="468" spans="1:26" ht="62.25" customHeight="1" x14ac:dyDescent="0.2">
      <c r="A468" s="627"/>
      <c r="B468" s="627"/>
      <c r="C468" s="627"/>
      <c r="D468" s="627"/>
      <c r="E468" s="627"/>
      <c r="F468" s="630"/>
      <c r="G468" s="630"/>
      <c r="H468" s="630"/>
      <c r="I468" s="631"/>
      <c r="J468" s="632"/>
      <c r="K468" s="633"/>
      <c r="L468" s="633"/>
      <c r="M468" s="633"/>
      <c r="N468" s="632"/>
      <c r="O468" s="632"/>
      <c r="P468" s="632"/>
      <c r="Q468" s="632"/>
      <c r="R468" s="632"/>
      <c r="S468" s="628"/>
      <c r="T468" s="628"/>
      <c r="U468" s="628"/>
      <c r="V468" s="628"/>
      <c r="W468" s="673"/>
      <c r="X468" s="673"/>
      <c r="Y468" s="673"/>
      <c r="Z468" s="673"/>
    </row>
    <row r="469" spans="1:26" ht="62.25" customHeight="1" x14ac:dyDescent="0.2">
      <c r="A469" s="627"/>
      <c r="B469" s="627"/>
      <c r="C469" s="627"/>
      <c r="D469" s="627"/>
      <c r="E469" s="627"/>
      <c r="F469" s="630"/>
      <c r="G469" s="630"/>
      <c r="H469" s="630"/>
      <c r="I469" s="631"/>
      <c r="J469" s="632"/>
      <c r="K469" s="633"/>
      <c r="L469" s="633"/>
      <c r="M469" s="633"/>
      <c r="N469" s="632"/>
      <c r="O469" s="632"/>
      <c r="P469" s="632"/>
      <c r="Q469" s="632"/>
      <c r="R469" s="632"/>
      <c r="S469" s="628"/>
      <c r="T469" s="628"/>
      <c r="U469" s="628"/>
      <c r="V469" s="628"/>
      <c r="W469" s="673"/>
      <c r="X469" s="673"/>
      <c r="Y469" s="673"/>
      <c r="Z469" s="673"/>
    </row>
    <row r="470" spans="1:26" ht="62.25" customHeight="1" x14ac:dyDescent="0.2">
      <c r="A470" s="627"/>
      <c r="B470" s="627"/>
      <c r="C470" s="627"/>
      <c r="D470" s="627"/>
      <c r="E470" s="627"/>
      <c r="F470" s="630"/>
      <c r="G470" s="630"/>
      <c r="H470" s="630"/>
      <c r="I470" s="631"/>
      <c r="J470" s="632"/>
      <c r="K470" s="633"/>
      <c r="L470" s="633"/>
      <c r="M470" s="633"/>
      <c r="N470" s="632"/>
      <c r="O470" s="632"/>
      <c r="P470" s="632"/>
      <c r="Q470" s="632"/>
      <c r="R470" s="632"/>
      <c r="S470" s="628"/>
      <c r="T470" s="628"/>
      <c r="U470" s="628"/>
      <c r="V470" s="628"/>
      <c r="W470" s="673"/>
      <c r="X470" s="673"/>
      <c r="Y470" s="673"/>
      <c r="Z470" s="673"/>
    </row>
    <row r="471" spans="1:26" ht="62.25" customHeight="1" x14ac:dyDescent="0.2">
      <c r="A471" s="627"/>
      <c r="B471" s="627"/>
      <c r="C471" s="627"/>
      <c r="D471" s="627"/>
      <c r="E471" s="627"/>
      <c r="F471" s="630"/>
      <c r="G471" s="630"/>
      <c r="H471" s="630"/>
      <c r="I471" s="631"/>
      <c r="J471" s="632"/>
      <c r="K471" s="633"/>
      <c r="L471" s="633"/>
      <c r="M471" s="633"/>
      <c r="N471" s="632"/>
      <c r="O471" s="632"/>
      <c r="P471" s="632"/>
      <c r="Q471" s="632"/>
      <c r="R471" s="632"/>
      <c r="S471" s="628"/>
      <c r="T471" s="628"/>
      <c r="U471" s="628"/>
      <c r="V471" s="628"/>
      <c r="W471" s="673"/>
      <c r="X471" s="673"/>
      <c r="Y471" s="673"/>
      <c r="Z471" s="673"/>
    </row>
    <row r="472" spans="1:26" ht="62.25" customHeight="1" x14ac:dyDescent="0.2">
      <c r="A472" s="627"/>
      <c r="B472" s="627"/>
      <c r="C472" s="627"/>
      <c r="D472" s="627"/>
      <c r="E472" s="627"/>
      <c r="F472" s="630"/>
      <c r="G472" s="630"/>
      <c r="H472" s="630"/>
      <c r="I472" s="631"/>
      <c r="J472" s="632"/>
      <c r="K472" s="633"/>
      <c r="L472" s="633"/>
      <c r="M472" s="633"/>
      <c r="N472" s="632"/>
      <c r="O472" s="632"/>
      <c r="P472" s="632"/>
      <c r="Q472" s="632"/>
      <c r="R472" s="632"/>
      <c r="S472" s="628"/>
      <c r="T472" s="628"/>
      <c r="U472" s="628"/>
      <c r="V472" s="628"/>
      <c r="W472" s="673"/>
      <c r="X472" s="673"/>
      <c r="Y472" s="673"/>
      <c r="Z472" s="673"/>
    </row>
    <row r="473" spans="1:26" ht="62.25" customHeight="1" x14ac:dyDescent="0.2">
      <c r="A473" s="627"/>
      <c r="B473" s="627"/>
      <c r="C473" s="627"/>
      <c r="D473" s="627"/>
      <c r="E473" s="627"/>
      <c r="F473" s="630"/>
      <c r="G473" s="630"/>
      <c r="H473" s="630"/>
      <c r="I473" s="631"/>
      <c r="J473" s="632"/>
      <c r="K473" s="633"/>
      <c r="L473" s="633"/>
      <c r="M473" s="633"/>
      <c r="N473" s="632"/>
      <c r="O473" s="632"/>
      <c r="P473" s="632"/>
      <c r="Q473" s="632"/>
      <c r="R473" s="632"/>
      <c r="S473" s="628"/>
      <c r="T473" s="628"/>
      <c r="U473" s="628"/>
      <c r="V473" s="628"/>
      <c r="W473" s="673"/>
      <c r="X473" s="673"/>
      <c r="Y473" s="673"/>
      <c r="Z473" s="673"/>
    </row>
    <row r="474" spans="1:26" ht="62.25" customHeight="1" x14ac:dyDescent="0.2">
      <c r="A474" s="627"/>
      <c r="B474" s="627"/>
      <c r="C474" s="627"/>
      <c r="D474" s="627"/>
      <c r="E474" s="627"/>
      <c r="F474" s="630"/>
      <c r="G474" s="630"/>
      <c r="H474" s="630"/>
      <c r="I474" s="631"/>
      <c r="J474" s="632"/>
      <c r="K474" s="633"/>
      <c r="L474" s="633"/>
      <c r="M474" s="633"/>
      <c r="N474" s="632"/>
      <c r="O474" s="632"/>
      <c r="P474" s="632"/>
      <c r="Q474" s="632"/>
      <c r="R474" s="632"/>
      <c r="S474" s="628"/>
      <c r="T474" s="628"/>
      <c r="U474" s="628"/>
      <c r="V474" s="628"/>
      <c r="W474" s="673"/>
      <c r="X474" s="673"/>
      <c r="Y474" s="673"/>
      <c r="Z474" s="673"/>
    </row>
    <row r="475" spans="1:26" ht="62.25" customHeight="1" x14ac:dyDescent="0.2">
      <c r="A475" s="627"/>
      <c r="B475" s="627"/>
      <c r="C475" s="627"/>
      <c r="D475" s="627"/>
      <c r="E475" s="627"/>
      <c r="F475" s="630"/>
      <c r="G475" s="630"/>
      <c r="H475" s="630"/>
      <c r="I475" s="631"/>
      <c r="J475" s="632"/>
      <c r="K475" s="633"/>
      <c r="L475" s="633"/>
      <c r="M475" s="633"/>
      <c r="N475" s="632"/>
      <c r="O475" s="632"/>
      <c r="P475" s="632"/>
      <c r="Q475" s="632"/>
      <c r="R475" s="632"/>
      <c r="S475" s="628"/>
      <c r="T475" s="628"/>
      <c r="U475" s="628"/>
      <c r="V475" s="628"/>
      <c r="W475" s="673"/>
      <c r="X475" s="673"/>
      <c r="Y475" s="673"/>
      <c r="Z475" s="673"/>
    </row>
    <row r="476" spans="1:26" ht="62.25" customHeight="1" x14ac:dyDescent="0.2">
      <c r="A476" s="627"/>
      <c r="B476" s="627"/>
      <c r="C476" s="627"/>
      <c r="D476" s="627"/>
      <c r="E476" s="627"/>
      <c r="F476" s="630"/>
      <c r="G476" s="630"/>
      <c r="H476" s="630"/>
      <c r="I476" s="631"/>
      <c r="J476" s="632"/>
      <c r="K476" s="633"/>
      <c r="L476" s="633"/>
      <c r="M476" s="633"/>
      <c r="N476" s="632"/>
      <c r="O476" s="632"/>
      <c r="P476" s="632"/>
      <c r="Q476" s="632"/>
      <c r="R476" s="632"/>
      <c r="S476" s="628"/>
      <c r="T476" s="628"/>
      <c r="U476" s="628"/>
      <c r="V476" s="628"/>
      <c r="W476" s="673"/>
      <c r="X476" s="673"/>
      <c r="Y476" s="673"/>
      <c r="Z476" s="673"/>
    </row>
    <row r="477" spans="1:26" ht="62.25" customHeight="1" x14ac:dyDescent="0.2">
      <c r="A477" s="627"/>
      <c r="B477" s="627"/>
      <c r="C477" s="627"/>
      <c r="D477" s="627"/>
      <c r="E477" s="627"/>
      <c r="F477" s="630"/>
      <c r="G477" s="630"/>
      <c r="H477" s="630"/>
      <c r="I477" s="631"/>
      <c r="J477" s="632"/>
      <c r="K477" s="633"/>
      <c r="L477" s="633"/>
      <c r="M477" s="633"/>
      <c r="N477" s="632"/>
      <c r="O477" s="632"/>
      <c r="P477" s="632"/>
      <c r="Q477" s="632"/>
      <c r="R477" s="632"/>
      <c r="S477" s="628"/>
      <c r="T477" s="628"/>
      <c r="U477" s="628"/>
      <c r="V477" s="628"/>
      <c r="W477" s="673"/>
      <c r="X477" s="673"/>
      <c r="Y477" s="673"/>
      <c r="Z477" s="673"/>
    </row>
    <row r="478" spans="1:26" ht="62.25" customHeight="1" x14ac:dyDescent="0.2">
      <c r="A478" s="627"/>
      <c r="B478" s="627"/>
      <c r="C478" s="627"/>
      <c r="D478" s="627"/>
      <c r="E478" s="627"/>
      <c r="F478" s="630"/>
      <c r="G478" s="630"/>
      <c r="H478" s="630"/>
      <c r="I478" s="631"/>
      <c r="J478" s="632"/>
      <c r="K478" s="633"/>
      <c r="L478" s="633"/>
      <c r="M478" s="633"/>
      <c r="N478" s="632"/>
      <c r="O478" s="632"/>
      <c r="P478" s="632"/>
      <c r="Q478" s="632"/>
      <c r="R478" s="632"/>
      <c r="S478" s="628"/>
      <c r="T478" s="628"/>
      <c r="U478" s="628"/>
      <c r="V478" s="628"/>
      <c r="W478" s="673"/>
      <c r="X478" s="673"/>
      <c r="Y478" s="673"/>
      <c r="Z478" s="673"/>
    </row>
    <row r="479" spans="1:26" ht="62.25" customHeight="1" x14ac:dyDescent="0.2">
      <c r="A479" s="627"/>
      <c r="B479" s="627"/>
      <c r="C479" s="627"/>
      <c r="D479" s="627"/>
      <c r="E479" s="627"/>
      <c r="F479" s="630"/>
      <c r="G479" s="630"/>
      <c r="H479" s="630"/>
      <c r="I479" s="631"/>
      <c r="J479" s="632"/>
      <c r="K479" s="633"/>
      <c r="L479" s="633"/>
      <c r="M479" s="633"/>
      <c r="N479" s="632"/>
      <c r="O479" s="632"/>
      <c r="P479" s="632"/>
      <c r="Q479" s="632"/>
      <c r="R479" s="632"/>
      <c r="S479" s="628"/>
      <c r="T479" s="628"/>
      <c r="U479" s="628"/>
      <c r="V479" s="628"/>
      <c r="W479" s="673"/>
      <c r="X479" s="673"/>
      <c r="Y479" s="673"/>
      <c r="Z479" s="673"/>
    </row>
    <row r="480" spans="1:26" ht="62.25" customHeight="1" x14ac:dyDescent="0.2">
      <c r="A480" s="627"/>
      <c r="B480" s="627"/>
      <c r="C480" s="627"/>
      <c r="D480" s="627"/>
      <c r="E480" s="627"/>
      <c r="F480" s="630"/>
      <c r="G480" s="630"/>
      <c r="H480" s="630"/>
      <c r="I480" s="631"/>
      <c r="J480" s="632"/>
      <c r="K480" s="633"/>
      <c r="L480" s="633"/>
      <c r="M480" s="633"/>
      <c r="N480" s="632"/>
      <c r="O480" s="632"/>
      <c r="P480" s="632"/>
      <c r="Q480" s="632"/>
      <c r="R480" s="632"/>
      <c r="S480" s="628"/>
      <c r="T480" s="628"/>
      <c r="U480" s="628"/>
      <c r="V480" s="628"/>
      <c r="W480" s="673"/>
      <c r="X480" s="673"/>
      <c r="Y480" s="673"/>
      <c r="Z480" s="673"/>
    </row>
    <row r="481" spans="1:26" ht="62.25" customHeight="1" x14ac:dyDescent="0.2">
      <c r="A481" s="627"/>
      <c r="B481" s="627"/>
      <c r="C481" s="627"/>
      <c r="D481" s="627"/>
      <c r="E481" s="627"/>
      <c r="F481" s="630"/>
      <c r="G481" s="630"/>
      <c r="H481" s="630"/>
      <c r="I481" s="631"/>
      <c r="J481" s="632"/>
      <c r="K481" s="633"/>
      <c r="L481" s="633"/>
      <c r="M481" s="633"/>
      <c r="N481" s="632"/>
      <c r="O481" s="632"/>
      <c r="P481" s="632"/>
      <c r="Q481" s="632"/>
      <c r="R481" s="632"/>
      <c r="S481" s="628"/>
      <c r="T481" s="628"/>
      <c r="U481" s="628"/>
      <c r="V481" s="628"/>
      <c r="W481" s="673"/>
      <c r="X481" s="673"/>
      <c r="Y481" s="673"/>
      <c r="Z481" s="673"/>
    </row>
    <row r="482" spans="1:26" ht="62.25" customHeight="1" x14ac:dyDescent="0.2">
      <c r="A482" s="627"/>
      <c r="B482" s="627"/>
      <c r="C482" s="627"/>
      <c r="D482" s="627"/>
      <c r="E482" s="627"/>
      <c r="F482" s="630"/>
      <c r="G482" s="630"/>
      <c r="H482" s="630"/>
      <c r="I482" s="631"/>
      <c r="J482" s="632"/>
      <c r="K482" s="633"/>
      <c r="L482" s="633"/>
      <c r="M482" s="633"/>
      <c r="N482" s="632"/>
      <c r="O482" s="632"/>
      <c r="P482" s="632"/>
      <c r="Q482" s="632"/>
      <c r="R482" s="632"/>
      <c r="S482" s="628"/>
      <c r="T482" s="628"/>
      <c r="U482" s="628"/>
      <c r="V482" s="628"/>
      <c r="W482" s="673"/>
      <c r="X482" s="673"/>
      <c r="Y482" s="673"/>
      <c r="Z482" s="673"/>
    </row>
    <row r="483" spans="1:26" ht="62.25" customHeight="1" x14ac:dyDescent="0.2">
      <c r="A483" s="627"/>
      <c r="B483" s="627"/>
      <c r="C483" s="627"/>
      <c r="D483" s="627"/>
      <c r="E483" s="627"/>
      <c r="F483" s="630"/>
      <c r="G483" s="630"/>
      <c r="H483" s="630"/>
      <c r="I483" s="631"/>
      <c r="J483" s="632"/>
      <c r="K483" s="633"/>
      <c r="L483" s="633"/>
      <c r="M483" s="633"/>
      <c r="N483" s="632"/>
      <c r="O483" s="632"/>
      <c r="P483" s="632"/>
      <c r="Q483" s="632"/>
      <c r="R483" s="632"/>
      <c r="S483" s="628"/>
      <c r="T483" s="628"/>
      <c r="U483" s="628"/>
      <c r="V483" s="628"/>
      <c r="W483" s="673"/>
      <c r="X483" s="673"/>
      <c r="Y483" s="673"/>
      <c r="Z483" s="673"/>
    </row>
    <row r="484" spans="1:26" ht="62.25" customHeight="1" x14ac:dyDescent="0.2">
      <c r="A484" s="627"/>
      <c r="B484" s="627"/>
      <c r="C484" s="627"/>
      <c r="D484" s="627"/>
      <c r="E484" s="627"/>
      <c r="F484" s="630"/>
      <c r="G484" s="630"/>
      <c r="H484" s="630"/>
      <c r="I484" s="631"/>
      <c r="J484" s="632"/>
      <c r="K484" s="633"/>
      <c r="L484" s="633"/>
      <c r="M484" s="633"/>
      <c r="N484" s="632"/>
      <c r="O484" s="632"/>
      <c r="P484" s="632"/>
      <c r="Q484" s="632"/>
      <c r="R484" s="632"/>
      <c r="S484" s="628"/>
      <c r="T484" s="628"/>
      <c r="U484" s="628"/>
      <c r="V484" s="628"/>
      <c r="W484" s="673"/>
      <c r="X484" s="673"/>
      <c r="Y484" s="673"/>
      <c r="Z484" s="673"/>
    </row>
    <row r="485" spans="1:26" ht="62.25" customHeight="1" x14ac:dyDescent="0.2">
      <c r="A485" s="627"/>
      <c r="B485" s="627"/>
      <c r="C485" s="627"/>
      <c r="D485" s="627"/>
      <c r="E485" s="627"/>
      <c r="F485" s="630"/>
      <c r="G485" s="630"/>
      <c r="H485" s="630"/>
      <c r="I485" s="631"/>
      <c r="J485" s="632"/>
      <c r="K485" s="633"/>
      <c r="L485" s="633"/>
      <c r="M485" s="633"/>
      <c r="N485" s="632"/>
      <c r="O485" s="632"/>
      <c r="P485" s="632"/>
      <c r="Q485" s="632"/>
      <c r="R485" s="632"/>
      <c r="S485" s="628"/>
      <c r="T485" s="628"/>
      <c r="U485" s="628"/>
      <c r="V485" s="628"/>
      <c r="W485" s="673"/>
      <c r="X485" s="673"/>
      <c r="Y485" s="673"/>
      <c r="Z485" s="673"/>
    </row>
    <row r="486" spans="1:26" ht="62.25" customHeight="1" x14ac:dyDescent="0.2">
      <c r="A486" s="627"/>
      <c r="B486" s="627"/>
      <c r="C486" s="627"/>
      <c r="D486" s="627"/>
      <c r="E486" s="627"/>
      <c r="F486" s="630"/>
      <c r="G486" s="630"/>
      <c r="H486" s="630"/>
      <c r="I486" s="631"/>
      <c r="J486" s="632"/>
      <c r="K486" s="633"/>
      <c r="L486" s="633"/>
      <c r="M486" s="633"/>
      <c r="N486" s="632"/>
      <c r="O486" s="632"/>
      <c r="P486" s="632"/>
      <c r="Q486" s="632"/>
      <c r="R486" s="632"/>
      <c r="S486" s="628"/>
      <c r="T486" s="628"/>
      <c r="U486" s="628"/>
      <c r="V486" s="628"/>
      <c r="W486" s="673"/>
      <c r="X486" s="673"/>
      <c r="Y486" s="673"/>
      <c r="Z486" s="673"/>
    </row>
    <row r="487" spans="1:26" ht="62.25" customHeight="1" x14ac:dyDescent="0.2">
      <c r="A487" s="627"/>
      <c r="B487" s="627"/>
      <c r="C487" s="627"/>
      <c r="D487" s="627"/>
      <c r="E487" s="627"/>
      <c r="F487" s="630"/>
      <c r="G487" s="630"/>
      <c r="H487" s="630"/>
      <c r="I487" s="631"/>
      <c r="J487" s="632"/>
      <c r="K487" s="633"/>
      <c r="L487" s="633"/>
      <c r="M487" s="633"/>
      <c r="N487" s="632"/>
      <c r="O487" s="632"/>
      <c r="P487" s="632"/>
      <c r="Q487" s="632"/>
      <c r="R487" s="632"/>
      <c r="S487" s="628"/>
      <c r="T487" s="628"/>
      <c r="U487" s="628"/>
      <c r="V487" s="628"/>
      <c r="W487" s="673"/>
      <c r="X487" s="673"/>
      <c r="Y487" s="673"/>
      <c r="Z487" s="673"/>
    </row>
    <row r="488" spans="1:26" ht="62.25" customHeight="1" x14ac:dyDescent="0.2">
      <c r="A488" s="627"/>
      <c r="B488" s="627"/>
      <c r="C488" s="627"/>
      <c r="D488" s="627"/>
      <c r="E488" s="627"/>
      <c r="F488" s="630"/>
      <c r="G488" s="630"/>
      <c r="H488" s="630"/>
      <c r="I488" s="631"/>
      <c r="J488" s="632"/>
      <c r="K488" s="633"/>
      <c r="L488" s="633"/>
      <c r="M488" s="633"/>
      <c r="N488" s="632"/>
      <c r="O488" s="632"/>
      <c r="P488" s="632"/>
      <c r="Q488" s="632"/>
      <c r="R488" s="632"/>
      <c r="S488" s="628"/>
      <c r="T488" s="628"/>
      <c r="U488" s="628"/>
      <c r="V488" s="628"/>
      <c r="W488" s="673"/>
      <c r="X488" s="673"/>
      <c r="Y488" s="673"/>
      <c r="Z488" s="673"/>
    </row>
    <row r="489" spans="1:26" ht="62.25" customHeight="1" x14ac:dyDescent="0.2">
      <c r="A489" s="627"/>
      <c r="B489" s="627"/>
      <c r="C489" s="627"/>
      <c r="D489" s="627"/>
      <c r="E489" s="627"/>
      <c r="F489" s="630"/>
      <c r="G489" s="630"/>
      <c r="H489" s="630"/>
      <c r="I489" s="631"/>
      <c r="J489" s="632"/>
      <c r="K489" s="633"/>
      <c r="L489" s="633"/>
      <c r="M489" s="633"/>
      <c r="N489" s="632"/>
      <c r="O489" s="632"/>
      <c r="P489" s="632"/>
      <c r="Q489" s="632"/>
      <c r="R489" s="632"/>
      <c r="S489" s="628"/>
      <c r="T489" s="628"/>
      <c r="U489" s="628"/>
      <c r="V489" s="628"/>
      <c r="W489" s="673"/>
      <c r="X489" s="673"/>
      <c r="Y489" s="673"/>
      <c r="Z489" s="673"/>
    </row>
    <row r="490" spans="1:26" ht="62.25" customHeight="1" x14ac:dyDescent="0.2">
      <c r="A490" s="627"/>
      <c r="B490" s="627"/>
      <c r="C490" s="627"/>
      <c r="D490" s="627"/>
      <c r="E490" s="627"/>
      <c r="F490" s="630"/>
      <c r="G490" s="630"/>
      <c r="H490" s="630"/>
      <c r="I490" s="631"/>
      <c r="J490" s="632"/>
      <c r="K490" s="633"/>
      <c r="L490" s="633"/>
      <c r="M490" s="633"/>
      <c r="N490" s="632"/>
      <c r="O490" s="632"/>
      <c r="P490" s="632"/>
      <c r="Q490" s="632"/>
      <c r="R490" s="632"/>
      <c r="S490" s="628"/>
      <c r="T490" s="628"/>
      <c r="U490" s="628"/>
      <c r="V490" s="628"/>
      <c r="W490" s="673"/>
      <c r="X490" s="673"/>
      <c r="Y490" s="673"/>
      <c r="Z490" s="673"/>
    </row>
    <row r="491" spans="1:26" ht="62.25" customHeight="1" x14ac:dyDescent="0.2">
      <c r="A491" s="627"/>
      <c r="B491" s="627"/>
      <c r="C491" s="627"/>
      <c r="D491" s="627"/>
      <c r="E491" s="627"/>
      <c r="F491" s="630"/>
      <c r="G491" s="630"/>
      <c r="H491" s="630"/>
      <c r="I491" s="631"/>
      <c r="J491" s="632"/>
      <c r="K491" s="633"/>
      <c r="L491" s="633"/>
      <c r="M491" s="633"/>
      <c r="N491" s="632"/>
      <c r="O491" s="632"/>
      <c r="P491" s="632"/>
      <c r="Q491" s="632"/>
      <c r="R491" s="632"/>
      <c r="S491" s="628"/>
      <c r="T491" s="628"/>
      <c r="U491" s="628"/>
      <c r="V491" s="628"/>
      <c r="W491" s="673"/>
      <c r="X491" s="673"/>
      <c r="Y491" s="673"/>
      <c r="Z491" s="673"/>
    </row>
    <row r="492" spans="1:26" ht="62.25" customHeight="1" x14ac:dyDescent="0.2">
      <c r="A492" s="627"/>
      <c r="B492" s="627"/>
      <c r="C492" s="627"/>
      <c r="D492" s="627"/>
      <c r="E492" s="627"/>
      <c r="F492" s="630"/>
      <c r="G492" s="630"/>
      <c r="H492" s="630"/>
      <c r="I492" s="631"/>
      <c r="J492" s="632"/>
      <c r="K492" s="633"/>
      <c r="L492" s="633"/>
      <c r="M492" s="633"/>
      <c r="N492" s="632"/>
      <c r="O492" s="632"/>
      <c r="P492" s="632"/>
      <c r="Q492" s="632"/>
      <c r="R492" s="632"/>
      <c r="S492" s="628"/>
      <c r="T492" s="628"/>
      <c r="U492" s="628"/>
      <c r="V492" s="628"/>
      <c r="W492" s="673"/>
      <c r="X492" s="673"/>
      <c r="Y492" s="673"/>
      <c r="Z492" s="673"/>
    </row>
    <row r="493" spans="1:26" ht="62.25" customHeight="1" x14ac:dyDescent="0.2">
      <c r="A493" s="627"/>
      <c r="B493" s="627"/>
      <c r="C493" s="627"/>
      <c r="D493" s="627"/>
      <c r="E493" s="627"/>
      <c r="F493" s="630"/>
      <c r="G493" s="630"/>
      <c r="H493" s="630"/>
      <c r="I493" s="631"/>
      <c r="J493" s="632"/>
      <c r="K493" s="633"/>
      <c r="L493" s="633"/>
      <c r="M493" s="633"/>
      <c r="N493" s="632"/>
      <c r="O493" s="632"/>
      <c r="P493" s="632"/>
      <c r="Q493" s="632"/>
      <c r="R493" s="632"/>
      <c r="S493" s="628"/>
      <c r="T493" s="628"/>
      <c r="U493" s="628"/>
      <c r="V493" s="628"/>
      <c r="W493" s="673"/>
      <c r="X493" s="673"/>
      <c r="Y493" s="673"/>
      <c r="Z493" s="673"/>
    </row>
    <row r="494" spans="1:26" ht="62.25" customHeight="1" x14ac:dyDescent="0.2">
      <c r="A494" s="627"/>
      <c r="B494" s="627"/>
      <c r="C494" s="627"/>
      <c r="D494" s="627"/>
      <c r="E494" s="627"/>
      <c r="F494" s="630"/>
      <c r="G494" s="630"/>
      <c r="H494" s="630"/>
      <c r="I494" s="631"/>
      <c r="J494" s="632"/>
      <c r="K494" s="633"/>
      <c r="L494" s="633"/>
      <c r="M494" s="633"/>
      <c r="N494" s="632"/>
      <c r="O494" s="632"/>
      <c r="P494" s="632"/>
      <c r="Q494" s="632"/>
      <c r="R494" s="632"/>
      <c r="S494" s="628"/>
      <c r="T494" s="628"/>
      <c r="U494" s="628"/>
      <c r="V494" s="628"/>
      <c r="W494" s="673"/>
      <c r="X494" s="673"/>
      <c r="Y494" s="673"/>
      <c r="Z494" s="673"/>
    </row>
    <row r="495" spans="1:26" ht="62.25" customHeight="1" x14ac:dyDescent="0.2">
      <c r="A495" s="627"/>
      <c r="B495" s="627"/>
      <c r="C495" s="627"/>
      <c r="D495" s="627"/>
      <c r="E495" s="627"/>
      <c r="F495" s="630"/>
      <c r="G495" s="630"/>
      <c r="H495" s="630"/>
      <c r="I495" s="631"/>
      <c r="J495" s="632"/>
      <c r="K495" s="633"/>
      <c r="L495" s="633"/>
      <c r="M495" s="633"/>
      <c r="N495" s="632"/>
      <c r="O495" s="632"/>
      <c r="P495" s="632"/>
      <c r="Q495" s="632"/>
      <c r="R495" s="632"/>
      <c r="S495" s="628"/>
      <c r="T495" s="628"/>
      <c r="U495" s="628"/>
      <c r="V495" s="628"/>
      <c r="W495" s="673"/>
      <c r="X495" s="673"/>
      <c r="Y495" s="673"/>
      <c r="Z495" s="673"/>
    </row>
    <row r="496" spans="1:26" ht="62.25" customHeight="1" x14ac:dyDescent="0.2">
      <c r="A496" s="627"/>
      <c r="B496" s="627"/>
      <c r="C496" s="627"/>
      <c r="D496" s="627"/>
      <c r="E496" s="627"/>
      <c r="F496" s="630"/>
      <c r="G496" s="630"/>
      <c r="H496" s="630"/>
      <c r="I496" s="631"/>
      <c r="J496" s="632"/>
      <c r="K496" s="633"/>
      <c r="L496" s="633"/>
      <c r="M496" s="633"/>
      <c r="N496" s="632"/>
      <c r="O496" s="632"/>
      <c r="P496" s="632"/>
      <c r="Q496" s="632"/>
      <c r="R496" s="632"/>
      <c r="S496" s="628"/>
      <c r="T496" s="628"/>
      <c r="U496" s="628"/>
      <c r="V496" s="628"/>
      <c r="W496" s="673"/>
      <c r="X496" s="673"/>
      <c r="Y496" s="673"/>
      <c r="Z496" s="673"/>
    </row>
    <row r="497" spans="1:26" ht="62.25" customHeight="1" x14ac:dyDescent="0.2">
      <c r="A497" s="627"/>
      <c r="B497" s="627"/>
      <c r="C497" s="627"/>
      <c r="D497" s="627"/>
      <c r="E497" s="627"/>
      <c r="F497" s="630"/>
      <c r="G497" s="630"/>
      <c r="H497" s="630"/>
      <c r="I497" s="631"/>
      <c r="J497" s="632"/>
      <c r="K497" s="633"/>
      <c r="L497" s="633"/>
      <c r="M497" s="633"/>
      <c r="N497" s="632"/>
      <c r="O497" s="632"/>
      <c r="P497" s="632"/>
      <c r="Q497" s="632"/>
      <c r="R497" s="632"/>
      <c r="S497" s="628"/>
      <c r="T497" s="628"/>
      <c r="U497" s="628"/>
      <c r="V497" s="628"/>
      <c r="W497" s="673"/>
      <c r="X497" s="673"/>
      <c r="Y497" s="673"/>
      <c r="Z497" s="673"/>
    </row>
    <row r="498" spans="1:26" ht="62.25" customHeight="1" x14ac:dyDescent="0.2">
      <c r="A498" s="627"/>
      <c r="B498" s="627"/>
      <c r="C498" s="627"/>
      <c r="D498" s="627"/>
      <c r="E498" s="627"/>
      <c r="F498" s="630"/>
      <c r="G498" s="630"/>
      <c r="H498" s="630"/>
      <c r="I498" s="631"/>
      <c r="J498" s="632"/>
      <c r="K498" s="633"/>
      <c r="L498" s="633"/>
      <c r="M498" s="633"/>
      <c r="N498" s="632"/>
      <c r="O498" s="632"/>
      <c r="P498" s="632"/>
      <c r="Q498" s="632"/>
      <c r="R498" s="632"/>
      <c r="S498" s="628"/>
      <c r="T498" s="628"/>
      <c r="U498" s="628"/>
      <c r="V498" s="628"/>
      <c r="W498" s="673"/>
      <c r="X498" s="673"/>
      <c r="Y498" s="673"/>
      <c r="Z498" s="673"/>
    </row>
    <row r="499" spans="1:26" ht="62.25" customHeight="1" x14ac:dyDescent="0.2">
      <c r="A499" s="627"/>
      <c r="B499" s="627"/>
      <c r="C499" s="627"/>
      <c r="D499" s="627"/>
      <c r="E499" s="627"/>
      <c r="F499" s="630"/>
      <c r="G499" s="630"/>
      <c r="H499" s="630"/>
      <c r="I499" s="631"/>
      <c r="J499" s="632"/>
      <c r="K499" s="633"/>
      <c r="L499" s="633"/>
      <c r="M499" s="633"/>
      <c r="N499" s="632"/>
      <c r="O499" s="632"/>
      <c r="P499" s="632"/>
      <c r="Q499" s="632"/>
      <c r="R499" s="632"/>
      <c r="S499" s="628"/>
      <c r="T499" s="628"/>
      <c r="U499" s="628"/>
      <c r="V499" s="628"/>
      <c r="W499" s="673"/>
      <c r="X499" s="673"/>
      <c r="Y499" s="673"/>
      <c r="Z499" s="673"/>
    </row>
    <row r="500" spans="1:26" ht="62.25" customHeight="1" x14ac:dyDescent="0.2">
      <c r="A500" s="627"/>
      <c r="B500" s="627"/>
      <c r="C500" s="627"/>
      <c r="D500" s="627"/>
      <c r="E500" s="627"/>
      <c r="F500" s="630"/>
      <c r="G500" s="630"/>
      <c r="H500" s="630"/>
      <c r="I500" s="631"/>
      <c r="J500" s="632"/>
      <c r="K500" s="633"/>
      <c r="L500" s="633"/>
      <c r="M500" s="633"/>
      <c r="N500" s="632"/>
      <c r="O500" s="632"/>
      <c r="P500" s="632"/>
      <c r="Q500" s="632"/>
      <c r="R500" s="632"/>
      <c r="S500" s="628"/>
      <c r="T500" s="628"/>
      <c r="U500" s="628"/>
      <c r="V500" s="628"/>
      <c r="W500" s="673"/>
      <c r="X500" s="673"/>
      <c r="Y500" s="673"/>
      <c r="Z500" s="673"/>
    </row>
    <row r="501" spans="1:26" ht="62.25" customHeight="1" x14ac:dyDescent="0.2">
      <c r="A501" s="627"/>
      <c r="B501" s="627"/>
      <c r="C501" s="627"/>
      <c r="D501" s="627"/>
      <c r="E501" s="627"/>
      <c r="F501" s="630"/>
      <c r="G501" s="630"/>
      <c r="H501" s="630"/>
      <c r="I501" s="631"/>
      <c r="J501" s="632"/>
      <c r="K501" s="633"/>
      <c r="L501" s="633"/>
      <c r="M501" s="633"/>
      <c r="N501" s="632"/>
      <c r="O501" s="632"/>
      <c r="P501" s="632"/>
      <c r="Q501" s="632"/>
      <c r="R501" s="632"/>
      <c r="S501" s="628"/>
      <c r="T501" s="628"/>
      <c r="U501" s="628"/>
      <c r="V501" s="628"/>
      <c r="W501" s="673"/>
      <c r="X501" s="673"/>
      <c r="Y501" s="673"/>
      <c r="Z501" s="673"/>
    </row>
    <row r="502" spans="1:26" ht="62.25" customHeight="1" x14ac:dyDescent="0.2">
      <c r="A502" s="627"/>
      <c r="B502" s="627"/>
      <c r="C502" s="627"/>
      <c r="D502" s="627"/>
      <c r="E502" s="627"/>
      <c r="F502" s="630"/>
      <c r="G502" s="630"/>
      <c r="H502" s="630"/>
      <c r="I502" s="631"/>
      <c r="J502" s="632"/>
      <c r="K502" s="633"/>
      <c r="L502" s="633"/>
      <c r="M502" s="633"/>
      <c r="N502" s="632"/>
      <c r="O502" s="632"/>
      <c r="P502" s="632"/>
      <c r="Q502" s="632"/>
      <c r="R502" s="632"/>
      <c r="S502" s="628"/>
      <c r="T502" s="628"/>
      <c r="U502" s="628"/>
      <c r="V502" s="628"/>
      <c r="W502" s="673"/>
      <c r="X502" s="673"/>
      <c r="Y502" s="673"/>
      <c r="Z502" s="673"/>
    </row>
    <row r="503" spans="1:26" ht="62.25" customHeight="1" x14ac:dyDescent="0.2">
      <c r="A503" s="627"/>
      <c r="B503" s="627"/>
      <c r="C503" s="627"/>
      <c r="D503" s="627"/>
      <c r="E503" s="627"/>
      <c r="F503" s="630"/>
      <c r="G503" s="630"/>
      <c r="H503" s="630"/>
      <c r="I503" s="631"/>
      <c r="J503" s="632"/>
      <c r="K503" s="633"/>
      <c r="L503" s="633"/>
      <c r="M503" s="633"/>
      <c r="N503" s="632"/>
      <c r="O503" s="632"/>
      <c r="P503" s="632"/>
      <c r="Q503" s="632"/>
      <c r="R503" s="632"/>
      <c r="S503" s="628"/>
      <c r="T503" s="628"/>
      <c r="U503" s="628"/>
      <c r="V503" s="628"/>
      <c r="W503" s="673"/>
      <c r="X503" s="673"/>
      <c r="Y503" s="673"/>
      <c r="Z503" s="673"/>
    </row>
    <row r="504" spans="1:26" ht="62.25" customHeight="1" x14ac:dyDescent="0.2">
      <c r="A504" s="627"/>
      <c r="B504" s="627"/>
      <c r="C504" s="627"/>
      <c r="D504" s="627"/>
      <c r="E504" s="627"/>
      <c r="F504" s="630"/>
      <c r="G504" s="630"/>
      <c r="H504" s="630"/>
      <c r="I504" s="631"/>
      <c r="J504" s="632"/>
      <c r="K504" s="633"/>
      <c r="L504" s="633"/>
      <c r="M504" s="633"/>
      <c r="N504" s="632"/>
      <c r="O504" s="632"/>
      <c r="P504" s="632"/>
      <c r="Q504" s="632"/>
      <c r="R504" s="632"/>
      <c r="S504" s="628"/>
      <c r="T504" s="628"/>
      <c r="U504" s="628"/>
      <c r="V504" s="628"/>
      <c r="W504" s="673"/>
      <c r="X504" s="673"/>
      <c r="Y504" s="673"/>
      <c r="Z504" s="673"/>
    </row>
    <row r="505" spans="1:26" ht="62.25" customHeight="1" x14ac:dyDescent="0.2">
      <c r="A505" s="627"/>
      <c r="B505" s="627"/>
      <c r="C505" s="627"/>
      <c r="D505" s="627"/>
      <c r="E505" s="627"/>
      <c r="F505" s="630"/>
      <c r="G505" s="630"/>
      <c r="H505" s="630"/>
      <c r="I505" s="631"/>
      <c r="J505" s="632"/>
      <c r="K505" s="633"/>
      <c r="L505" s="633"/>
      <c r="M505" s="633"/>
      <c r="N505" s="632"/>
      <c r="O505" s="632"/>
      <c r="P505" s="632"/>
      <c r="Q505" s="632"/>
      <c r="R505" s="632"/>
      <c r="S505" s="628"/>
      <c r="T505" s="628"/>
      <c r="U505" s="628"/>
      <c r="V505" s="628"/>
      <c r="W505" s="673"/>
      <c r="X505" s="673"/>
      <c r="Y505" s="673"/>
      <c r="Z505" s="673"/>
    </row>
    <row r="506" spans="1:26" ht="62.25" customHeight="1" x14ac:dyDescent="0.2">
      <c r="A506" s="627"/>
      <c r="B506" s="627"/>
      <c r="C506" s="627"/>
      <c r="D506" s="627"/>
      <c r="E506" s="627"/>
      <c r="F506" s="630"/>
      <c r="G506" s="630"/>
      <c r="H506" s="630"/>
      <c r="I506" s="631"/>
      <c r="J506" s="632"/>
      <c r="K506" s="633"/>
      <c r="L506" s="633"/>
      <c r="M506" s="633"/>
      <c r="N506" s="632"/>
      <c r="O506" s="632"/>
      <c r="P506" s="632"/>
      <c r="Q506" s="632"/>
      <c r="R506" s="632"/>
      <c r="S506" s="628"/>
      <c r="T506" s="628"/>
      <c r="U506" s="628"/>
      <c r="V506" s="628"/>
      <c r="W506" s="673"/>
      <c r="X506" s="673"/>
      <c r="Y506" s="673"/>
      <c r="Z506" s="673"/>
    </row>
    <row r="507" spans="1:26" ht="62.25" customHeight="1" x14ac:dyDescent="0.2">
      <c r="A507" s="627"/>
      <c r="B507" s="627"/>
      <c r="C507" s="627"/>
      <c r="D507" s="627"/>
      <c r="E507" s="627"/>
      <c r="F507" s="630"/>
      <c r="G507" s="630"/>
      <c r="H507" s="630"/>
      <c r="I507" s="631"/>
      <c r="J507" s="632"/>
      <c r="K507" s="633"/>
      <c r="L507" s="633"/>
      <c r="M507" s="633"/>
      <c r="N507" s="632"/>
      <c r="O507" s="632"/>
      <c r="P507" s="632"/>
      <c r="Q507" s="632"/>
      <c r="R507" s="632"/>
      <c r="S507" s="628"/>
      <c r="T507" s="628"/>
      <c r="U507" s="628"/>
      <c r="V507" s="628"/>
      <c r="W507" s="673"/>
      <c r="X507" s="673"/>
      <c r="Y507" s="673"/>
      <c r="Z507" s="673"/>
    </row>
    <row r="508" spans="1:26" ht="62.25" customHeight="1" x14ac:dyDescent="0.2">
      <c r="A508" s="627"/>
      <c r="B508" s="627"/>
      <c r="C508" s="627"/>
      <c r="D508" s="627"/>
      <c r="E508" s="627"/>
      <c r="F508" s="630"/>
      <c r="G508" s="630"/>
      <c r="H508" s="630"/>
      <c r="I508" s="631"/>
      <c r="J508" s="632"/>
      <c r="K508" s="633"/>
      <c r="L508" s="633"/>
      <c r="M508" s="633"/>
      <c r="N508" s="632"/>
      <c r="O508" s="632"/>
      <c r="P508" s="632"/>
      <c r="Q508" s="632"/>
      <c r="R508" s="632"/>
      <c r="S508" s="628"/>
      <c r="T508" s="628"/>
      <c r="U508" s="628"/>
      <c r="V508" s="628"/>
      <c r="W508" s="673"/>
      <c r="X508" s="673"/>
      <c r="Y508" s="673"/>
      <c r="Z508" s="673"/>
    </row>
    <row r="509" spans="1:26" ht="62.25" customHeight="1" x14ac:dyDescent="0.2">
      <c r="A509" s="627"/>
      <c r="B509" s="627"/>
      <c r="C509" s="627"/>
      <c r="D509" s="627"/>
      <c r="E509" s="627"/>
      <c r="F509" s="630"/>
      <c r="G509" s="630"/>
      <c r="H509" s="630"/>
      <c r="I509" s="631"/>
      <c r="J509" s="632"/>
      <c r="K509" s="633"/>
      <c r="L509" s="633"/>
      <c r="M509" s="633"/>
      <c r="N509" s="632"/>
      <c r="O509" s="632"/>
      <c r="P509" s="632"/>
      <c r="Q509" s="632"/>
      <c r="R509" s="632"/>
      <c r="S509" s="628"/>
      <c r="T509" s="628"/>
      <c r="U509" s="628"/>
      <c r="V509" s="628"/>
      <c r="W509" s="673"/>
      <c r="X509" s="673"/>
      <c r="Y509" s="673"/>
      <c r="Z509" s="673"/>
    </row>
    <row r="510" spans="1:26" ht="62.25" customHeight="1" x14ac:dyDescent="0.2">
      <c r="A510" s="627"/>
      <c r="B510" s="627"/>
      <c r="C510" s="627"/>
      <c r="D510" s="627"/>
      <c r="E510" s="627"/>
      <c r="F510" s="630"/>
      <c r="G510" s="630"/>
      <c r="H510" s="630"/>
      <c r="I510" s="631"/>
      <c r="J510" s="632"/>
      <c r="K510" s="633"/>
      <c r="L510" s="633"/>
      <c r="M510" s="633"/>
      <c r="N510" s="632"/>
      <c r="O510" s="632"/>
      <c r="P510" s="632"/>
      <c r="Q510" s="632"/>
      <c r="R510" s="632"/>
      <c r="S510" s="628"/>
      <c r="T510" s="628"/>
      <c r="U510" s="628"/>
      <c r="V510" s="628"/>
      <c r="W510" s="673"/>
      <c r="X510" s="673"/>
      <c r="Y510" s="673"/>
      <c r="Z510" s="673"/>
    </row>
    <row r="511" spans="1:26" ht="62.25" customHeight="1" x14ac:dyDescent="0.2">
      <c r="A511" s="627"/>
      <c r="B511" s="627"/>
      <c r="C511" s="627"/>
      <c r="D511" s="627"/>
      <c r="E511" s="627"/>
      <c r="F511" s="630"/>
      <c r="G511" s="630"/>
      <c r="H511" s="630"/>
      <c r="I511" s="631"/>
      <c r="J511" s="632"/>
      <c r="K511" s="633"/>
      <c r="L511" s="633"/>
      <c r="M511" s="633"/>
      <c r="N511" s="632"/>
      <c r="O511" s="632"/>
      <c r="P511" s="632"/>
      <c r="Q511" s="632"/>
      <c r="R511" s="632"/>
      <c r="S511" s="628"/>
      <c r="T511" s="628"/>
      <c r="U511" s="628"/>
      <c r="V511" s="628"/>
      <c r="W511" s="673"/>
      <c r="X511" s="673"/>
      <c r="Y511" s="673"/>
      <c r="Z511" s="673"/>
    </row>
    <row r="512" spans="1:26" ht="62.25" customHeight="1" x14ac:dyDescent="0.2">
      <c r="A512" s="627"/>
      <c r="B512" s="627"/>
      <c r="C512" s="627"/>
      <c r="D512" s="627"/>
      <c r="E512" s="627"/>
      <c r="F512" s="630"/>
      <c r="G512" s="630"/>
      <c r="H512" s="630"/>
      <c r="I512" s="631"/>
      <c r="J512" s="632"/>
      <c r="K512" s="633"/>
      <c r="L512" s="633"/>
      <c r="M512" s="633"/>
      <c r="N512" s="632"/>
      <c r="O512" s="632"/>
      <c r="P512" s="632"/>
      <c r="Q512" s="632"/>
      <c r="R512" s="632"/>
      <c r="S512" s="628"/>
      <c r="T512" s="628"/>
      <c r="U512" s="628"/>
      <c r="V512" s="628"/>
      <c r="W512" s="673"/>
      <c r="X512" s="673"/>
      <c r="Y512" s="673"/>
      <c r="Z512" s="673"/>
    </row>
    <row r="513" spans="1:26" ht="62.25" customHeight="1" x14ac:dyDescent="0.2">
      <c r="A513" s="627"/>
      <c r="B513" s="627"/>
      <c r="C513" s="627"/>
      <c r="D513" s="627"/>
      <c r="E513" s="627"/>
      <c r="F513" s="630"/>
      <c r="G513" s="630"/>
      <c r="H513" s="630"/>
      <c r="I513" s="631"/>
      <c r="J513" s="632"/>
      <c r="K513" s="633"/>
      <c r="L513" s="633"/>
      <c r="M513" s="633"/>
      <c r="N513" s="632"/>
      <c r="O513" s="632"/>
      <c r="P513" s="632"/>
      <c r="Q513" s="632"/>
      <c r="R513" s="632"/>
      <c r="S513" s="628"/>
      <c r="T513" s="628"/>
      <c r="U513" s="628"/>
      <c r="V513" s="628"/>
      <c r="W513" s="673"/>
      <c r="X513" s="673"/>
      <c r="Y513" s="673"/>
      <c r="Z513" s="673"/>
    </row>
    <row r="514" spans="1:26" ht="62.25" customHeight="1" x14ac:dyDescent="0.2">
      <c r="A514" s="627"/>
      <c r="B514" s="627"/>
      <c r="C514" s="627"/>
      <c r="D514" s="627"/>
      <c r="E514" s="627"/>
      <c r="F514" s="630"/>
      <c r="G514" s="630"/>
      <c r="H514" s="630"/>
      <c r="I514" s="631"/>
      <c r="J514" s="632"/>
      <c r="K514" s="633"/>
      <c r="L514" s="633"/>
      <c r="M514" s="633"/>
      <c r="N514" s="632"/>
      <c r="O514" s="632"/>
      <c r="P514" s="632"/>
      <c r="Q514" s="632"/>
      <c r="R514" s="632"/>
      <c r="S514" s="628"/>
      <c r="T514" s="628"/>
      <c r="U514" s="628"/>
      <c r="V514" s="628"/>
      <c r="W514" s="673"/>
      <c r="X514" s="673"/>
      <c r="Y514" s="673"/>
      <c r="Z514" s="673"/>
    </row>
    <row r="515" spans="1:26" ht="62.25" customHeight="1" x14ac:dyDescent="0.2">
      <c r="A515" s="627"/>
      <c r="B515" s="627"/>
      <c r="C515" s="627"/>
      <c r="D515" s="627"/>
      <c r="E515" s="627"/>
      <c r="F515" s="630"/>
      <c r="G515" s="630"/>
      <c r="H515" s="630"/>
      <c r="I515" s="631"/>
      <c r="J515" s="632"/>
      <c r="K515" s="633"/>
      <c r="L515" s="633"/>
      <c r="M515" s="633"/>
      <c r="N515" s="632"/>
      <c r="O515" s="632"/>
      <c r="P515" s="632"/>
      <c r="Q515" s="632"/>
      <c r="R515" s="632"/>
      <c r="S515" s="628"/>
      <c r="T515" s="628"/>
      <c r="U515" s="628"/>
      <c r="V515" s="628"/>
      <c r="W515" s="673"/>
      <c r="X515" s="673"/>
      <c r="Y515" s="673"/>
      <c r="Z515" s="673"/>
    </row>
    <row r="516" spans="1:26" ht="62.25" customHeight="1" x14ac:dyDescent="0.2">
      <c r="A516" s="627"/>
      <c r="B516" s="627"/>
      <c r="C516" s="627"/>
      <c r="D516" s="627"/>
      <c r="E516" s="627"/>
      <c r="F516" s="630"/>
      <c r="G516" s="630"/>
      <c r="H516" s="630"/>
      <c r="I516" s="631"/>
      <c r="J516" s="632"/>
      <c r="K516" s="633"/>
      <c r="L516" s="633"/>
      <c r="M516" s="633"/>
      <c r="N516" s="632"/>
      <c r="O516" s="632"/>
      <c r="P516" s="632"/>
      <c r="Q516" s="632"/>
      <c r="R516" s="632"/>
      <c r="S516" s="628"/>
      <c r="T516" s="628"/>
      <c r="U516" s="628"/>
      <c r="V516" s="628"/>
      <c r="W516" s="673"/>
      <c r="X516" s="673"/>
      <c r="Y516" s="673"/>
      <c r="Z516" s="673"/>
    </row>
    <row r="517" spans="1:26" ht="62.25" customHeight="1" x14ac:dyDescent="0.2">
      <c r="A517" s="627"/>
      <c r="B517" s="627"/>
      <c r="C517" s="627"/>
      <c r="D517" s="627"/>
      <c r="E517" s="627"/>
      <c r="F517" s="630"/>
      <c r="G517" s="630"/>
      <c r="H517" s="630"/>
      <c r="I517" s="631"/>
      <c r="J517" s="632"/>
      <c r="K517" s="633"/>
      <c r="L517" s="633"/>
      <c r="M517" s="633"/>
      <c r="N517" s="632"/>
      <c r="O517" s="632"/>
      <c r="P517" s="632"/>
      <c r="Q517" s="632"/>
      <c r="R517" s="632"/>
      <c r="S517" s="628"/>
      <c r="T517" s="628"/>
      <c r="U517" s="628"/>
      <c r="V517" s="628"/>
      <c r="W517" s="673"/>
      <c r="X517" s="673"/>
      <c r="Y517" s="673"/>
      <c r="Z517" s="673"/>
    </row>
    <row r="518" spans="1:26" ht="62.25" customHeight="1" x14ac:dyDescent="0.2">
      <c r="A518" s="627"/>
      <c r="B518" s="627"/>
      <c r="C518" s="627"/>
      <c r="D518" s="627"/>
      <c r="E518" s="627"/>
      <c r="F518" s="630"/>
      <c r="G518" s="630"/>
      <c r="H518" s="630"/>
      <c r="I518" s="631"/>
      <c r="J518" s="632"/>
      <c r="K518" s="633"/>
      <c r="L518" s="633"/>
      <c r="M518" s="633"/>
      <c r="N518" s="632"/>
      <c r="O518" s="632"/>
      <c r="P518" s="632"/>
      <c r="Q518" s="632"/>
      <c r="R518" s="632"/>
      <c r="S518" s="628"/>
      <c r="T518" s="628"/>
      <c r="U518" s="628"/>
      <c r="V518" s="628"/>
      <c r="W518" s="673"/>
      <c r="X518" s="673"/>
      <c r="Y518" s="673"/>
      <c r="Z518" s="673"/>
    </row>
    <row r="519" spans="1:26" ht="62.25" customHeight="1" x14ac:dyDescent="0.2">
      <c r="A519" s="627"/>
      <c r="B519" s="627"/>
      <c r="C519" s="627"/>
      <c r="D519" s="627"/>
      <c r="E519" s="627"/>
      <c r="F519" s="630"/>
      <c r="G519" s="630"/>
      <c r="H519" s="630"/>
      <c r="I519" s="631"/>
      <c r="J519" s="632"/>
      <c r="K519" s="633"/>
      <c r="L519" s="633"/>
      <c r="M519" s="633"/>
      <c r="N519" s="632"/>
      <c r="O519" s="632"/>
      <c r="P519" s="632"/>
      <c r="Q519" s="632"/>
      <c r="R519" s="632"/>
      <c r="S519" s="628"/>
      <c r="T519" s="628"/>
      <c r="U519" s="628"/>
      <c r="V519" s="628"/>
      <c r="W519" s="673"/>
      <c r="X519" s="673"/>
      <c r="Y519" s="673"/>
      <c r="Z519" s="673"/>
    </row>
    <row r="520" spans="1:26" ht="62.25" customHeight="1" x14ac:dyDescent="0.2">
      <c r="A520" s="627"/>
      <c r="B520" s="627"/>
      <c r="C520" s="627"/>
      <c r="D520" s="627"/>
      <c r="E520" s="627"/>
      <c r="F520" s="630"/>
      <c r="G520" s="630"/>
      <c r="H520" s="630"/>
      <c r="I520" s="631"/>
      <c r="J520" s="632"/>
      <c r="K520" s="633"/>
      <c r="L520" s="633"/>
      <c r="M520" s="633"/>
      <c r="N520" s="632"/>
      <c r="O520" s="632"/>
      <c r="P520" s="632"/>
      <c r="Q520" s="632"/>
      <c r="R520" s="632"/>
      <c r="S520" s="628"/>
      <c r="T520" s="628"/>
      <c r="U520" s="628"/>
      <c r="V520" s="628"/>
      <c r="W520" s="673"/>
      <c r="X520" s="673"/>
      <c r="Y520" s="673"/>
      <c r="Z520" s="673"/>
    </row>
    <row r="521" spans="1:26" ht="62.25" customHeight="1" x14ac:dyDescent="0.2">
      <c r="A521" s="627"/>
      <c r="B521" s="627"/>
      <c r="C521" s="627"/>
      <c r="D521" s="627"/>
      <c r="E521" s="627"/>
      <c r="F521" s="630"/>
      <c r="G521" s="630"/>
      <c r="H521" s="630"/>
      <c r="I521" s="631"/>
      <c r="J521" s="632"/>
      <c r="K521" s="633"/>
      <c r="L521" s="633"/>
      <c r="M521" s="633"/>
      <c r="N521" s="632"/>
      <c r="O521" s="632"/>
      <c r="P521" s="632"/>
      <c r="Q521" s="632"/>
      <c r="R521" s="632"/>
      <c r="S521" s="628"/>
      <c r="T521" s="628"/>
      <c r="U521" s="628"/>
      <c r="V521" s="628"/>
      <c r="W521" s="673"/>
      <c r="X521" s="673"/>
      <c r="Y521" s="673"/>
      <c r="Z521" s="673"/>
    </row>
    <row r="522" spans="1:26" ht="62.25" customHeight="1" x14ac:dyDescent="0.2">
      <c r="A522" s="627"/>
      <c r="B522" s="627"/>
      <c r="C522" s="627"/>
      <c r="D522" s="627"/>
      <c r="E522" s="627"/>
      <c r="F522" s="630"/>
      <c r="G522" s="630"/>
      <c r="H522" s="630"/>
      <c r="I522" s="631"/>
      <c r="J522" s="632"/>
      <c r="K522" s="633"/>
      <c r="L522" s="633"/>
      <c r="M522" s="633"/>
      <c r="N522" s="632"/>
      <c r="O522" s="632"/>
      <c r="P522" s="632"/>
      <c r="Q522" s="632"/>
      <c r="R522" s="632"/>
      <c r="S522" s="628"/>
      <c r="T522" s="628"/>
      <c r="U522" s="628"/>
      <c r="V522" s="628"/>
      <c r="W522" s="673"/>
      <c r="X522" s="673"/>
      <c r="Y522" s="673"/>
      <c r="Z522" s="673"/>
    </row>
    <row r="523" spans="1:26" ht="62.25" customHeight="1" x14ac:dyDescent="0.2">
      <c r="A523" s="627"/>
      <c r="B523" s="627"/>
      <c r="C523" s="627"/>
      <c r="D523" s="627"/>
      <c r="E523" s="627"/>
      <c r="F523" s="630"/>
      <c r="G523" s="630"/>
      <c r="H523" s="630"/>
      <c r="I523" s="631"/>
      <c r="J523" s="632"/>
      <c r="K523" s="633"/>
      <c r="L523" s="633"/>
      <c r="M523" s="633"/>
      <c r="N523" s="632"/>
      <c r="O523" s="632"/>
      <c r="P523" s="632"/>
      <c r="Q523" s="632"/>
      <c r="R523" s="632"/>
      <c r="S523" s="628"/>
      <c r="T523" s="628"/>
      <c r="U523" s="628"/>
      <c r="V523" s="628"/>
      <c r="W523" s="673"/>
      <c r="X523" s="673"/>
      <c r="Y523" s="673"/>
      <c r="Z523" s="673"/>
    </row>
    <row r="524" spans="1:26" ht="62.25" customHeight="1" x14ac:dyDescent="0.2">
      <c r="A524" s="627"/>
      <c r="B524" s="627"/>
      <c r="C524" s="627"/>
      <c r="D524" s="627"/>
      <c r="E524" s="627"/>
      <c r="F524" s="630"/>
      <c r="G524" s="630"/>
      <c r="H524" s="630"/>
      <c r="I524" s="631"/>
      <c r="J524" s="632"/>
      <c r="K524" s="633"/>
      <c r="L524" s="633"/>
      <c r="M524" s="633"/>
      <c r="N524" s="632"/>
      <c r="O524" s="632"/>
      <c r="P524" s="632"/>
      <c r="Q524" s="632"/>
      <c r="R524" s="632"/>
      <c r="S524" s="628"/>
      <c r="T524" s="628"/>
      <c r="U524" s="628"/>
      <c r="V524" s="628"/>
      <c r="W524" s="673"/>
      <c r="X524" s="673"/>
      <c r="Y524" s="673"/>
      <c r="Z524" s="673"/>
    </row>
    <row r="525" spans="1:26" ht="62.25" customHeight="1" x14ac:dyDescent="0.2">
      <c r="A525" s="627"/>
      <c r="B525" s="627"/>
      <c r="C525" s="627"/>
      <c r="D525" s="627"/>
      <c r="E525" s="627"/>
      <c r="F525" s="630"/>
      <c r="G525" s="630"/>
      <c r="H525" s="630"/>
      <c r="I525" s="631"/>
      <c r="J525" s="632"/>
      <c r="K525" s="633"/>
      <c r="L525" s="633"/>
      <c r="M525" s="633"/>
      <c r="N525" s="632"/>
      <c r="O525" s="632"/>
      <c r="P525" s="632"/>
      <c r="Q525" s="632"/>
      <c r="R525" s="632"/>
      <c r="S525" s="628"/>
      <c r="T525" s="628"/>
      <c r="U525" s="628"/>
      <c r="V525" s="628"/>
      <c r="W525" s="673"/>
      <c r="X525" s="673"/>
      <c r="Y525" s="673"/>
      <c r="Z525" s="673"/>
    </row>
    <row r="526" spans="1:26" ht="62.25" customHeight="1" x14ac:dyDescent="0.2">
      <c r="A526" s="627"/>
      <c r="B526" s="627"/>
      <c r="C526" s="627"/>
      <c r="D526" s="627"/>
      <c r="E526" s="627"/>
      <c r="F526" s="630"/>
      <c r="G526" s="630"/>
      <c r="H526" s="630"/>
      <c r="I526" s="631"/>
      <c r="J526" s="632"/>
      <c r="K526" s="633"/>
      <c r="L526" s="633"/>
      <c r="M526" s="633"/>
      <c r="N526" s="632"/>
      <c r="O526" s="632"/>
      <c r="P526" s="632"/>
      <c r="Q526" s="632"/>
      <c r="R526" s="632"/>
      <c r="S526" s="628"/>
      <c r="T526" s="628"/>
      <c r="U526" s="628"/>
      <c r="V526" s="628"/>
      <c r="W526" s="673"/>
      <c r="X526" s="673"/>
      <c r="Y526" s="673"/>
      <c r="Z526" s="673"/>
    </row>
    <row r="527" spans="1:26" ht="62.25" customHeight="1" x14ac:dyDescent="0.2">
      <c r="A527" s="627"/>
      <c r="B527" s="627"/>
      <c r="C527" s="627"/>
      <c r="D527" s="627"/>
      <c r="E527" s="627"/>
      <c r="F527" s="630"/>
      <c r="G527" s="630"/>
      <c r="H527" s="630"/>
      <c r="I527" s="631"/>
      <c r="J527" s="632"/>
      <c r="K527" s="633"/>
      <c r="L527" s="633"/>
      <c r="M527" s="633"/>
      <c r="N527" s="632"/>
      <c r="O527" s="632"/>
      <c r="P527" s="632"/>
      <c r="Q527" s="632"/>
      <c r="R527" s="632"/>
      <c r="S527" s="628"/>
      <c r="T527" s="628"/>
      <c r="U527" s="628"/>
      <c r="V527" s="628"/>
      <c r="W527" s="673"/>
      <c r="X527" s="673"/>
      <c r="Y527" s="673"/>
      <c r="Z527" s="673"/>
    </row>
    <row r="528" spans="1:26" ht="62.25" customHeight="1" x14ac:dyDescent="0.2">
      <c r="A528" s="627"/>
      <c r="B528" s="627"/>
      <c r="C528" s="627"/>
      <c r="D528" s="627"/>
      <c r="E528" s="627"/>
      <c r="F528" s="630"/>
      <c r="G528" s="630"/>
      <c r="H528" s="630"/>
      <c r="I528" s="631"/>
      <c r="J528" s="632"/>
      <c r="K528" s="633"/>
      <c r="L528" s="633"/>
      <c r="M528" s="633"/>
      <c r="N528" s="632"/>
      <c r="O528" s="632"/>
      <c r="P528" s="632"/>
      <c r="Q528" s="632"/>
      <c r="R528" s="632"/>
      <c r="S528" s="628"/>
      <c r="T528" s="628"/>
      <c r="U528" s="628"/>
      <c r="V528" s="628"/>
      <c r="W528" s="673"/>
      <c r="X528" s="673"/>
      <c r="Y528" s="673"/>
      <c r="Z528" s="673"/>
    </row>
    <row r="529" spans="1:26" ht="62.25" customHeight="1" x14ac:dyDescent="0.2">
      <c r="A529" s="627"/>
      <c r="B529" s="627"/>
      <c r="C529" s="627"/>
      <c r="D529" s="627"/>
      <c r="E529" s="627"/>
      <c r="F529" s="630"/>
      <c r="G529" s="630"/>
      <c r="H529" s="630"/>
      <c r="I529" s="631"/>
      <c r="J529" s="632"/>
      <c r="K529" s="633"/>
      <c r="L529" s="633"/>
      <c r="M529" s="633"/>
      <c r="N529" s="632"/>
      <c r="O529" s="632"/>
      <c r="P529" s="632"/>
      <c r="Q529" s="632"/>
      <c r="R529" s="632"/>
      <c r="S529" s="628"/>
      <c r="T529" s="628"/>
      <c r="U529" s="628"/>
      <c r="V529" s="628"/>
      <c r="W529" s="673"/>
      <c r="X529" s="673"/>
      <c r="Y529" s="673"/>
      <c r="Z529" s="673"/>
    </row>
    <row r="530" spans="1:26" ht="62.25" customHeight="1" x14ac:dyDescent="0.2">
      <c r="A530" s="627"/>
      <c r="B530" s="627"/>
      <c r="C530" s="627"/>
      <c r="D530" s="627"/>
      <c r="E530" s="627"/>
      <c r="F530" s="630"/>
      <c r="G530" s="630"/>
      <c r="H530" s="630"/>
      <c r="I530" s="631"/>
      <c r="J530" s="632"/>
      <c r="K530" s="633"/>
      <c r="L530" s="633"/>
      <c r="M530" s="633"/>
      <c r="N530" s="632"/>
      <c r="O530" s="632"/>
      <c r="P530" s="632"/>
      <c r="Q530" s="632"/>
      <c r="R530" s="632"/>
      <c r="S530" s="628"/>
      <c r="T530" s="628"/>
      <c r="U530" s="628"/>
      <c r="V530" s="628"/>
      <c r="W530" s="673"/>
      <c r="X530" s="673"/>
      <c r="Y530" s="673"/>
      <c r="Z530" s="673"/>
    </row>
    <row r="531" spans="1:26" ht="62.25" customHeight="1" x14ac:dyDescent="0.2">
      <c r="A531" s="627"/>
      <c r="B531" s="627"/>
      <c r="C531" s="627"/>
      <c r="D531" s="627"/>
      <c r="E531" s="627"/>
      <c r="F531" s="630"/>
      <c r="G531" s="630"/>
      <c r="H531" s="630"/>
      <c r="I531" s="631"/>
      <c r="J531" s="632"/>
      <c r="K531" s="633"/>
      <c r="L531" s="633"/>
      <c r="M531" s="633"/>
      <c r="N531" s="632"/>
      <c r="O531" s="632"/>
      <c r="P531" s="632"/>
      <c r="Q531" s="632"/>
      <c r="R531" s="632"/>
      <c r="S531" s="628"/>
      <c r="T531" s="628"/>
      <c r="U531" s="628"/>
      <c r="V531" s="628"/>
      <c r="W531" s="673"/>
      <c r="X531" s="673"/>
      <c r="Y531" s="673"/>
      <c r="Z531" s="673"/>
    </row>
    <row r="532" spans="1:26" ht="62.25" customHeight="1" x14ac:dyDescent="0.2">
      <c r="A532" s="627"/>
      <c r="B532" s="627"/>
      <c r="C532" s="627"/>
      <c r="D532" s="627"/>
      <c r="E532" s="627"/>
      <c r="F532" s="630"/>
      <c r="G532" s="630"/>
      <c r="H532" s="630"/>
      <c r="I532" s="631"/>
      <c r="J532" s="632"/>
      <c r="K532" s="633"/>
      <c r="L532" s="633"/>
      <c r="M532" s="633"/>
      <c r="N532" s="632"/>
      <c r="O532" s="632"/>
      <c r="P532" s="632"/>
      <c r="Q532" s="632"/>
      <c r="R532" s="632"/>
      <c r="S532" s="628"/>
      <c r="T532" s="628"/>
      <c r="U532" s="628"/>
      <c r="V532" s="628"/>
      <c r="W532" s="673"/>
      <c r="X532" s="673"/>
      <c r="Y532" s="673"/>
      <c r="Z532" s="673"/>
    </row>
    <row r="533" spans="1:26" ht="62.25" customHeight="1" x14ac:dyDescent="0.2">
      <c r="A533" s="627"/>
      <c r="B533" s="627"/>
      <c r="C533" s="627"/>
      <c r="D533" s="627"/>
      <c r="E533" s="627"/>
      <c r="F533" s="630"/>
      <c r="G533" s="630"/>
      <c r="H533" s="630"/>
      <c r="I533" s="631"/>
      <c r="J533" s="632"/>
      <c r="K533" s="633"/>
      <c r="L533" s="633"/>
      <c r="M533" s="633"/>
      <c r="N533" s="632"/>
      <c r="O533" s="632"/>
      <c r="P533" s="632"/>
      <c r="Q533" s="632"/>
      <c r="R533" s="632"/>
      <c r="S533" s="628"/>
      <c r="T533" s="628"/>
      <c r="U533" s="628"/>
      <c r="V533" s="628"/>
      <c r="W533" s="673"/>
      <c r="X533" s="673"/>
      <c r="Y533" s="673"/>
      <c r="Z533" s="673"/>
    </row>
    <row r="534" spans="1:26" ht="62.25" customHeight="1" x14ac:dyDescent="0.2">
      <c r="A534" s="627"/>
      <c r="B534" s="627"/>
      <c r="C534" s="627"/>
      <c r="D534" s="627"/>
      <c r="E534" s="627"/>
      <c r="F534" s="630"/>
      <c r="G534" s="630"/>
      <c r="H534" s="630"/>
      <c r="I534" s="631"/>
      <c r="J534" s="632"/>
      <c r="K534" s="633"/>
      <c r="L534" s="633"/>
      <c r="M534" s="633"/>
      <c r="N534" s="632"/>
      <c r="O534" s="632"/>
      <c r="P534" s="632"/>
      <c r="Q534" s="632"/>
      <c r="R534" s="632"/>
      <c r="S534" s="628"/>
      <c r="T534" s="628"/>
      <c r="U534" s="628"/>
      <c r="V534" s="628"/>
      <c r="W534" s="673"/>
      <c r="X534" s="673"/>
      <c r="Y534" s="673"/>
      <c r="Z534" s="673"/>
    </row>
    <row r="535" spans="1:26" ht="62.25" customHeight="1" x14ac:dyDescent="0.2">
      <c r="A535" s="627"/>
      <c r="B535" s="627"/>
      <c r="C535" s="627"/>
      <c r="D535" s="627"/>
      <c r="E535" s="627"/>
      <c r="F535" s="630"/>
      <c r="G535" s="630"/>
      <c r="H535" s="630"/>
      <c r="I535" s="631"/>
      <c r="J535" s="632"/>
      <c r="K535" s="633"/>
      <c r="L535" s="633"/>
      <c r="M535" s="633"/>
      <c r="N535" s="632"/>
      <c r="O535" s="632"/>
      <c r="P535" s="632"/>
      <c r="Q535" s="632"/>
      <c r="R535" s="632"/>
      <c r="S535" s="628"/>
      <c r="T535" s="628"/>
      <c r="U535" s="628"/>
      <c r="V535" s="628"/>
      <c r="W535" s="673"/>
      <c r="X535" s="673"/>
      <c r="Y535" s="673"/>
      <c r="Z535" s="673"/>
    </row>
    <row r="536" spans="1:26" ht="62.25" customHeight="1" x14ac:dyDescent="0.2">
      <c r="A536" s="627"/>
      <c r="B536" s="627"/>
      <c r="C536" s="627"/>
      <c r="D536" s="627"/>
      <c r="E536" s="627"/>
      <c r="F536" s="630"/>
      <c r="G536" s="630"/>
      <c r="H536" s="630"/>
      <c r="I536" s="631"/>
      <c r="J536" s="632"/>
      <c r="K536" s="633"/>
      <c r="L536" s="633"/>
      <c r="M536" s="633"/>
      <c r="N536" s="632"/>
      <c r="O536" s="632"/>
      <c r="P536" s="632"/>
      <c r="Q536" s="632"/>
      <c r="R536" s="632"/>
      <c r="S536" s="628"/>
      <c r="T536" s="628"/>
      <c r="U536" s="628"/>
      <c r="V536" s="628"/>
      <c r="W536" s="673"/>
      <c r="X536" s="673"/>
      <c r="Y536" s="673"/>
      <c r="Z536" s="673"/>
    </row>
    <row r="537" spans="1:26" ht="62.25" customHeight="1" x14ac:dyDescent="0.2">
      <c r="A537" s="627"/>
      <c r="B537" s="627"/>
      <c r="C537" s="627"/>
      <c r="D537" s="627"/>
      <c r="E537" s="627"/>
      <c r="F537" s="630"/>
      <c r="G537" s="630"/>
      <c r="H537" s="630"/>
      <c r="I537" s="631"/>
      <c r="J537" s="632"/>
      <c r="K537" s="633"/>
      <c r="L537" s="633"/>
      <c r="M537" s="633"/>
      <c r="N537" s="632"/>
      <c r="O537" s="632"/>
      <c r="P537" s="632"/>
      <c r="Q537" s="632"/>
      <c r="R537" s="632"/>
      <c r="S537" s="628"/>
      <c r="T537" s="628"/>
      <c r="U537" s="628"/>
      <c r="V537" s="628"/>
      <c r="W537" s="673"/>
      <c r="X537" s="673"/>
      <c r="Y537" s="673"/>
      <c r="Z537" s="673"/>
    </row>
    <row r="538" spans="1:26" ht="62.25" customHeight="1" x14ac:dyDescent="0.2">
      <c r="A538" s="627"/>
      <c r="B538" s="627"/>
      <c r="C538" s="627"/>
      <c r="D538" s="627"/>
      <c r="E538" s="627"/>
      <c r="F538" s="630"/>
      <c r="G538" s="630"/>
      <c r="H538" s="630"/>
      <c r="I538" s="631"/>
      <c r="J538" s="632"/>
      <c r="K538" s="633"/>
      <c r="L538" s="633"/>
      <c r="M538" s="633"/>
      <c r="N538" s="632"/>
      <c r="O538" s="632"/>
      <c r="P538" s="632"/>
      <c r="Q538" s="632"/>
      <c r="R538" s="632"/>
      <c r="S538" s="628"/>
      <c r="T538" s="628"/>
      <c r="U538" s="628"/>
      <c r="V538" s="628"/>
      <c r="W538" s="673"/>
      <c r="X538" s="673"/>
      <c r="Y538" s="673"/>
      <c r="Z538" s="673"/>
    </row>
    <row r="539" spans="1:26" ht="62.25" customHeight="1" x14ac:dyDescent="0.2">
      <c r="A539" s="627"/>
      <c r="B539" s="627"/>
      <c r="C539" s="627"/>
      <c r="D539" s="627"/>
      <c r="E539" s="627"/>
      <c r="F539" s="630"/>
      <c r="G539" s="630"/>
      <c r="H539" s="630"/>
      <c r="I539" s="631"/>
      <c r="J539" s="632"/>
      <c r="K539" s="633"/>
      <c r="L539" s="633"/>
      <c r="M539" s="633"/>
      <c r="N539" s="632"/>
      <c r="O539" s="632"/>
      <c r="P539" s="632"/>
      <c r="Q539" s="632"/>
      <c r="R539" s="632"/>
      <c r="S539" s="628"/>
      <c r="T539" s="628"/>
      <c r="U539" s="628"/>
      <c r="V539" s="628"/>
      <c r="W539" s="673"/>
      <c r="X539" s="673"/>
      <c r="Y539" s="673"/>
      <c r="Z539" s="673"/>
    </row>
    <row r="540" spans="1:26" ht="62.25" customHeight="1" x14ac:dyDescent="0.2">
      <c r="A540" s="627"/>
      <c r="B540" s="627"/>
      <c r="C540" s="627"/>
      <c r="D540" s="627"/>
      <c r="E540" s="627"/>
      <c r="F540" s="630"/>
      <c r="G540" s="630"/>
      <c r="H540" s="630"/>
      <c r="I540" s="631"/>
      <c r="J540" s="632"/>
      <c r="K540" s="633"/>
      <c r="L540" s="633"/>
      <c r="M540" s="633"/>
      <c r="N540" s="632"/>
      <c r="O540" s="632"/>
      <c r="P540" s="632"/>
      <c r="Q540" s="632"/>
      <c r="R540" s="632"/>
      <c r="S540" s="628"/>
      <c r="T540" s="628"/>
      <c r="U540" s="628"/>
      <c r="V540" s="628"/>
      <c r="W540" s="673"/>
      <c r="X540" s="673"/>
      <c r="Y540" s="673"/>
      <c r="Z540" s="673"/>
    </row>
    <row r="541" spans="1:26" ht="62.25" customHeight="1" x14ac:dyDescent="0.2">
      <c r="A541" s="627"/>
      <c r="B541" s="627"/>
      <c r="C541" s="627"/>
      <c r="D541" s="627"/>
      <c r="E541" s="627"/>
      <c r="F541" s="630"/>
      <c r="G541" s="630"/>
      <c r="H541" s="630"/>
      <c r="I541" s="631"/>
      <c r="J541" s="632"/>
      <c r="K541" s="633"/>
      <c r="L541" s="633"/>
      <c r="M541" s="633"/>
      <c r="N541" s="632"/>
      <c r="O541" s="632"/>
      <c r="P541" s="632"/>
      <c r="Q541" s="632"/>
      <c r="R541" s="632"/>
      <c r="S541" s="628"/>
      <c r="T541" s="628"/>
      <c r="U541" s="628"/>
      <c r="V541" s="628"/>
      <c r="W541" s="673"/>
      <c r="X541" s="673"/>
      <c r="Y541" s="673"/>
      <c r="Z541" s="673"/>
    </row>
    <row r="542" spans="1:26" ht="62.25" customHeight="1" x14ac:dyDescent="0.2">
      <c r="A542" s="627"/>
      <c r="B542" s="627"/>
      <c r="C542" s="627"/>
      <c r="D542" s="627"/>
      <c r="E542" s="627"/>
      <c r="F542" s="630"/>
      <c r="G542" s="630"/>
      <c r="H542" s="630"/>
      <c r="I542" s="631"/>
      <c r="J542" s="632"/>
      <c r="K542" s="633"/>
      <c r="L542" s="633"/>
      <c r="M542" s="633"/>
      <c r="N542" s="632"/>
      <c r="O542" s="632"/>
      <c r="P542" s="632"/>
      <c r="Q542" s="632"/>
      <c r="R542" s="632"/>
      <c r="S542" s="628"/>
      <c r="T542" s="628"/>
      <c r="U542" s="628"/>
      <c r="V542" s="628"/>
      <c r="W542" s="673"/>
      <c r="X542" s="673"/>
      <c r="Y542" s="673"/>
      <c r="Z542" s="673"/>
    </row>
    <row r="543" spans="1:26" ht="62.25" customHeight="1" x14ac:dyDescent="0.2">
      <c r="A543" s="627"/>
      <c r="B543" s="627"/>
      <c r="C543" s="627"/>
      <c r="D543" s="627"/>
      <c r="E543" s="627"/>
      <c r="F543" s="630"/>
      <c r="G543" s="630"/>
      <c r="H543" s="630"/>
      <c r="I543" s="631"/>
      <c r="J543" s="632"/>
      <c r="K543" s="633"/>
      <c r="L543" s="633"/>
      <c r="M543" s="633"/>
      <c r="N543" s="632"/>
      <c r="O543" s="632"/>
      <c r="P543" s="632"/>
      <c r="Q543" s="632"/>
      <c r="R543" s="632"/>
      <c r="S543" s="628"/>
      <c r="T543" s="628"/>
      <c r="U543" s="628"/>
      <c r="V543" s="628"/>
      <c r="W543" s="673"/>
      <c r="X543" s="673"/>
      <c r="Y543" s="673"/>
      <c r="Z543" s="673"/>
    </row>
    <row r="544" spans="1:26" ht="62.25" customHeight="1" x14ac:dyDescent="0.2">
      <c r="A544" s="627"/>
      <c r="B544" s="627"/>
      <c r="C544" s="627"/>
      <c r="D544" s="627"/>
      <c r="E544" s="627"/>
      <c r="F544" s="630"/>
      <c r="G544" s="630"/>
      <c r="H544" s="630"/>
      <c r="I544" s="631"/>
      <c r="J544" s="632"/>
      <c r="K544" s="633"/>
      <c r="L544" s="633"/>
      <c r="M544" s="633"/>
      <c r="N544" s="632"/>
      <c r="O544" s="632"/>
      <c r="P544" s="632"/>
      <c r="Q544" s="632"/>
      <c r="R544" s="632"/>
      <c r="S544" s="628"/>
      <c r="T544" s="628"/>
      <c r="U544" s="628"/>
      <c r="V544" s="628"/>
      <c r="W544" s="673"/>
      <c r="X544" s="673"/>
      <c r="Y544" s="673"/>
      <c r="Z544" s="673"/>
    </row>
    <row r="545" spans="1:26" ht="62.25" customHeight="1" x14ac:dyDescent="0.2">
      <c r="A545" s="627"/>
      <c r="B545" s="627"/>
      <c r="C545" s="627"/>
      <c r="D545" s="627"/>
      <c r="E545" s="627"/>
      <c r="F545" s="630"/>
      <c r="G545" s="630"/>
      <c r="H545" s="630"/>
      <c r="I545" s="631"/>
      <c r="J545" s="632"/>
      <c r="K545" s="633"/>
      <c r="L545" s="633"/>
      <c r="M545" s="633"/>
      <c r="N545" s="632"/>
      <c r="O545" s="632"/>
      <c r="P545" s="632"/>
      <c r="Q545" s="632"/>
      <c r="R545" s="632"/>
      <c r="S545" s="628"/>
      <c r="T545" s="628"/>
      <c r="U545" s="628"/>
      <c r="V545" s="628"/>
      <c r="W545" s="673"/>
      <c r="X545" s="673"/>
      <c r="Y545" s="673"/>
      <c r="Z545" s="673"/>
    </row>
    <row r="546" spans="1:26" ht="62.25" customHeight="1" x14ac:dyDescent="0.2">
      <c r="A546" s="627"/>
      <c r="B546" s="627"/>
      <c r="C546" s="627"/>
      <c r="D546" s="627"/>
      <c r="E546" s="627"/>
      <c r="F546" s="630"/>
      <c r="G546" s="630"/>
      <c r="H546" s="630"/>
      <c r="I546" s="631"/>
      <c r="J546" s="632"/>
      <c r="K546" s="633"/>
      <c r="L546" s="633"/>
      <c r="M546" s="633"/>
      <c r="N546" s="632"/>
      <c r="O546" s="632"/>
      <c r="P546" s="632"/>
      <c r="Q546" s="632"/>
      <c r="R546" s="632"/>
      <c r="S546" s="628"/>
      <c r="T546" s="628"/>
      <c r="U546" s="628"/>
      <c r="V546" s="628"/>
      <c r="W546" s="673"/>
      <c r="X546" s="673"/>
      <c r="Y546" s="673"/>
      <c r="Z546" s="673"/>
    </row>
    <row r="547" spans="1:26" ht="62.25" customHeight="1" x14ac:dyDescent="0.2">
      <c r="A547" s="627"/>
      <c r="B547" s="627"/>
      <c r="C547" s="627"/>
      <c r="D547" s="627"/>
      <c r="E547" s="627"/>
      <c r="F547" s="630"/>
      <c r="G547" s="630"/>
      <c r="H547" s="630"/>
      <c r="I547" s="631"/>
      <c r="J547" s="632"/>
      <c r="K547" s="633"/>
      <c r="L547" s="633"/>
      <c r="M547" s="633"/>
      <c r="N547" s="632"/>
      <c r="O547" s="632"/>
      <c r="P547" s="632"/>
      <c r="Q547" s="632"/>
      <c r="R547" s="632"/>
      <c r="S547" s="628"/>
      <c r="T547" s="628"/>
      <c r="U547" s="628"/>
      <c r="V547" s="628"/>
      <c r="W547" s="673"/>
      <c r="X547" s="673"/>
      <c r="Y547" s="673"/>
      <c r="Z547" s="673"/>
    </row>
    <row r="548" spans="1:26" ht="62.25" customHeight="1" x14ac:dyDescent="0.2">
      <c r="A548" s="627"/>
      <c r="B548" s="627"/>
      <c r="C548" s="627"/>
      <c r="D548" s="627"/>
      <c r="E548" s="627"/>
      <c r="F548" s="630"/>
      <c r="G548" s="630"/>
      <c r="H548" s="630"/>
      <c r="I548" s="631"/>
      <c r="J548" s="632"/>
      <c r="K548" s="633"/>
      <c r="L548" s="633"/>
      <c r="M548" s="633"/>
      <c r="N548" s="632"/>
      <c r="O548" s="632"/>
      <c r="P548" s="632"/>
      <c r="Q548" s="632"/>
      <c r="R548" s="632"/>
      <c r="S548" s="628"/>
      <c r="T548" s="628"/>
      <c r="U548" s="628"/>
      <c r="V548" s="628"/>
      <c r="W548" s="673"/>
      <c r="X548" s="673"/>
      <c r="Y548" s="673"/>
      <c r="Z548" s="673"/>
    </row>
    <row r="549" spans="1:26" ht="62.25" customHeight="1" x14ac:dyDescent="0.2">
      <c r="A549" s="627"/>
      <c r="B549" s="627"/>
      <c r="C549" s="627"/>
      <c r="D549" s="627"/>
      <c r="E549" s="627"/>
      <c r="F549" s="630"/>
      <c r="G549" s="630"/>
      <c r="H549" s="630"/>
      <c r="I549" s="631"/>
      <c r="J549" s="632"/>
      <c r="K549" s="633"/>
      <c r="L549" s="633"/>
      <c r="M549" s="633"/>
      <c r="N549" s="632"/>
      <c r="O549" s="632"/>
      <c r="P549" s="632"/>
      <c r="Q549" s="632"/>
      <c r="R549" s="632"/>
      <c r="S549" s="628"/>
      <c r="T549" s="628"/>
      <c r="U549" s="628"/>
      <c r="V549" s="628"/>
      <c r="W549" s="673"/>
      <c r="X549" s="673"/>
      <c r="Y549" s="673"/>
      <c r="Z549" s="673"/>
    </row>
    <row r="550" spans="1:26" ht="62.25" customHeight="1" x14ac:dyDescent="0.2">
      <c r="A550" s="627"/>
      <c r="B550" s="627"/>
      <c r="C550" s="627"/>
      <c r="D550" s="627"/>
      <c r="E550" s="627"/>
      <c r="F550" s="630"/>
      <c r="G550" s="630"/>
      <c r="H550" s="630"/>
      <c r="I550" s="631"/>
      <c r="J550" s="632"/>
      <c r="K550" s="633"/>
      <c r="L550" s="633"/>
      <c r="M550" s="633"/>
      <c r="N550" s="632"/>
      <c r="O550" s="632"/>
      <c r="P550" s="632"/>
      <c r="Q550" s="632"/>
      <c r="R550" s="632"/>
      <c r="S550" s="628"/>
      <c r="T550" s="628"/>
      <c r="U550" s="628"/>
      <c r="V550" s="628"/>
      <c r="W550" s="673"/>
      <c r="X550" s="673"/>
      <c r="Y550" s="673"/>
      <c r="Z550" s="673"/>
    </row>
    <row r="551" spans="1:26" ht="62.25" customHeight="1" x14ac:dyDescent="0.2">
      <c r="A551" s="627"/>
      <c r="B551" s="627"/>
      <c r="C551" s="627"/>
      <c r="D551" s="627"/>
      <c r="E551" s="627"/>
      <c r="F551" s="630"/>
      <c r="G551" s="630"/>
      <c r="H551" s="630"/>
      <c r="I551" s="631"/>
      <c r="J551" s="632"/>
      <c r="K551" s="633"/>
      <c r="L551" s="633"/>
      <c r="M551" s="633"/>
      <c r="N551" s="632"/>
      <c r="O551" s="632"/>
      <c r="P551" s="632"/>
      <c r="Q551" s="632"/>
      <c r="R551" s="632"/>
      <c r="S551" s="628"/>
      <c r="T551" s="628"/>
      <c r="U551" s="628"/>
      <c r="V551" s="628"/>
      <c r="W551" s="673"/>
      <c r="X551" s="673"/>
      <c r="Y551" s="673"/>
      <c r="Z551" s="673"/>
    </row>
    <row r="552" spans="1:26" ht="62.25" customHeight="1" x14ac:dyDescent="0.2">
      <c r="A552" s="627"/>
      <c r="B552" s="627"/>
      <c r="C552" s="627"/>
      <c r="D552" s="627"/>
      <c r="E552" s="627"/>
      <c r="F552" s="630"/>
      <c r="G552" s="630"/>
      <c r="H552" s="630"/>
      <c r="I552" s="631"/>
      <c r="J552" s="632"/>
      <c r="K552" s="633"/>
      <c r="L552" s="633"/>
      <c r="M552" s="633"/>
      <c r="N552" s="632"/>
      <c r="O552" s="632"/>
      <c r="P552" s="632"/>
      <c r="Q552" s="632"/>
      <c r="R552" s="632"/>
      <c r="S552" s="628"/>
      <c r="T552" s="628"/>
      <c r="U552" s="628"/>
      <c r="V552" s="628"/>
      <c r="W552" s="673"/>
      <c r="X552" s="673"/>
      <c r="Y552" s="673"/>
      <c r="Z552" s="673"/>
    </row>
    <row r="553" spans="1:26" ht="62.25" customHeight="1" x14ac:dyDescent="0.2">
      <c r="A553" s="627"/>
      <c r="B553" s="627"/>
      <c r="C553" s="627"/>
      <c r="D553" s="627"/>
      <c r="E553" s="627"/>
      <c r="F553" s="630"/>
      <c r="G553" s="630"/>
      <c r="H553" s="630"/>
      <c r="I553" s="631"/>
      <c r="J553" s="632"/>
      <c r="K553" s="633"/>
      <c r="L553" s="633"/>
      <c r="M553" s="633"/>
      <c r="N553" s="632"/>
      <c r="O553" s="632"/>
      <c r="P553" s="632"/>
      <c r="Q553" s="632"/>
      <c r="R553" s="632"/>
      <c r="S553" s="628"/>
      <c r="T553" s="628"/>
      <c r="U553" s="628"/>
      <c r="V553" s="628"/>
      <c r="W553" s="673"/>
      <c r="X553" s="673"/>
      <c r="Y553" s="673"/>
      <c r="Z553" s="673"/>
    </row>
    <row r="554" spans="1:26" ht="62.25" customHeight="1" x14ac:dyDescent="0.2">
      <c r="A554" s="627"/>
      <c r="B554" s="627"/>
      <c r="C554" s="627"/>
      <c r="D554" s="627"/>
      <c r="E554" s="627"/>
      <c r="F554" s="630"/>
      <c r="G554" s="630"/>
      <c r="H554" s="630"/>
      <c r="I554" s="631"/>
      <c r="J554" s="632"/>
      <c r="K554" s="633"/>
      <c r="L554" s="633"/>
      <c r="M554" s="633"/>
      <c r="N554" s="632"/>
      <c r="O554" s="632"/>
      <c r="P554" s="632"/>
      <c r="Q554" s="632"/>
      <c r="R554" s="632"/>
      <c r="S554" s="628"/>
      <c r="T554" s="628"/>
      <c r="U554" s="628"/>
      <c r="V554" s="628"/>
      <c r="W554" s="673"/>
      <c r="X554" s="673"/>
      <c r="Y554" s="673"/>
      <c r="Z554" s="673"/>
    </row>
    <row r="555" spans="1:26" ht="62.25" customHeight="1" x14ac:dyDescent="0.2">
      <c r="A555" s="627"/>
      <c r="B555" s="627"/>
      <c r="C555" s="627"/>
      <c r="D555" s="627"/>
      <c r="E555" s="627"/>
      <c r="F555" s="630"/>
      <c r="G555" s="630"/>
      <c r="H555" s="630"/>
      <c r="I555" s="631"/>
      <c r="J555" s="632"/>
      <c r="K555" s="633"/>
      <c r="L555" s="633"/>
      <c r="M555" s="633"/>
      <c r="N555" s="632"/>
      <c r="O555" s="632"/>
      <c r="P555" s="632"/>
      <c r="Q555" s="632"/>
      <c r="R555" s="632"/>
      <c r="S555" s="628"/>
      <c r="T555" s="628"/>
      <c r="U555" s="628"/>
      <c r="V555" s="628"/>
      <c r="W555" s="673"/>
      <c r="X555" s="673"/>
      <c r="Y555" s="673"/>
      <c r="Z555" s="673"/>
    </row>
    <row r="556" spans="1:26" ht="62.25" customHeight="1" x14ac:dyDescent="0.2">
      <c r="A556" s="627"/>
      <c r="B556" s="627"/>
      <c r="C556" s="627"/>
      <c r="D556" s="627"/>
      <c r="E556" s="627"/>
      <c r="F556" s="630"/>
      <c r="G556" s="630"/>
      <c r="H556" s="630"/>
      <c r="I556" s="631"/>
      <c r="J556" s="632"/>
      <c r="K556" s="633"/>
      <c r="L556" s="633"/>
      <c r="M556" s="633"/>
      <c r="N556" s="632"/>
      <c r="O556" s="632"/>
      <c r="P556" s="632"/>
      <c r="Q556" s="632"/>
      <c r="R556" s="632"/>
      <c r="S556" s="628"/>
      <c r="T556" s="628"/>
      <c r="U556" s="628"/>
      <c r="V556" s="628"/>
      <c r="W556" s="673"/>
      <c r="X556" s="673"/>
      <c r="Y556" s="673"/>
      <c r="Z556" s="673"/>
    </row>
    <row r="557" spans="1:26" ht="62.25" customHeight="1" x14ac:dyDescent="0.2">
      <c r="A557" s="627"/>
      <c r="B557" s="627"/>
      <c r="C557" s="627"/>
      <c r="D557" s="627"/>
      <c r="E557" s="627"/>
      <c r="F557" s="630"/>
      <c r="G557" s="630"/>
      <c r="H557" s="630"/>
      <c r="I557" s="631"/>
      <c r="J557" s="632"/>
      <c r="K557" s="633"/>
      <c r="L557" s="633"/>
      <c r="M557" s="633"/>
      <c r="N557" s="632"/>
      <c r="O557" s="632"/>
      <c r="P557" s="632"/>
      <c r="Q557" s="632"/>
      <c r="R557" s="632"/>
      <c r="S557" s="628"/>
      <c r="T557" s="628"/>
      <c r="U557" s="628"/>
      <c r="V557" s="628"/>
      <c r="W557" s="673"/>
      <c r="X557" s="673"/>
      <c r="Y557" s="673"/>
      <c r="Z557" s="673"/>
    </row>
    <row r="558" spans="1:26" ht="62.25" customHeight="1" x14ac:dyDescent="0.2">
      <c r="A558" s="627"/>
      <c r="B558" s="627"/>
      <c r="C558" s="627"/>
      <c r="D558" s="627"/>
      <c r="E558" s="627"/>
      <c r="F558" s="630"/>
      <c r="G558" s="630"/>
      <c r="H558" s="630"/>
      <c r="I558" s="631"/>
      <c r="J558" s="632"/>
      <c r="K558" s="633"/>
      <c r="L558" s="633"/>
      <c r="M558" s="633"/>
      <c r="N558" s="632"/>
      <c r="O558" s="632"/>
      <c r="P558" s="632"/>
      <c r="Q558" s="632"/>
      <c r="R558" s="632"/>
      <c r="S558" s="628"/>
      <c r="T558" s="628"/>
      <c r="U558" s="628"/>
      <c r="V558" s="628"/>
      <c r="W558" s="673"/>
      <c r="X558" s="673"/>
      <c r="Y558" s="673"/>
      <c r="Z558" s="673"/>
    </row>
    <row r="559" spans="1:26" ht="62.25" customHeight="1" x14ac:dyDescent="0.2">
      <c r="A559" s="627"/>
      <c r="B559" s="627"/>
      <c r="C559" s="627"/>
      <c r="D559" s="627"/>
      <c r="E559" s="627"/>
      <c r="F559" s="630"/>
      <c r="G559" s="630"/>
      <c r="H559" s="630"/>
      <c r="I559" s="631"/>
      <c r="J559" s="632"/>
      <c r="K559" s="633"/>
      <c r="L559" s="633"/>
      <c r="M559" s="633"/>
      <c r="N559" s="632"/>
      <c r="O559" s="632"/>
      <c r="P559" s="632"/>
      <c r="Q559" s="632"/>
      <c r="R559" s="632"/>
      <c r="S559" s="628"/>
      <c r="T559" s="628"/>
      <c r="U559" s="628"/>
      <c r="V559" s="628"/>
      <c r="W559" s="673"/>
      <c r="X559" s="673"/>
      <c r="Y559" s="673"/>
      <c r="Z559" s="673"/>
    </row>
    <row r="560" spans="1:26" ht="62.25" customHeight="1" x14ac:dyDescent="0.2">
      <c r="A560" s="627"/>
      <c r="B560" s="627"/>
      <c r="C560" s="627"/>
      <c r="D560" s="627"/>
      <c r="E560" s="627"/>
      <c r="F560" s="630"/>
      <c r="G560" s="630"/>
      <c r="H560" s="630"/>
      <c r="I560" s="631"/>
      <c r="J560" s="632"/>
      <c r="K560" s="633"/>
      <c r="L560" s="633"/>
      <c r="M560" s="633"/>
      <c r="N560" s="632"/>
      <c r="O560" s="632"/>
      <c r="P560" s="632"/>
      <c r="Q560" s="632"/>
      <c r="R560" s="632"/>
      <c r="S560" s="628"/>
      <c r="T560" s="628"/>
      <c r="U560" s="628"/>
      <c r="V560" s="628"/>
      <c r="W560" s="673"/>
      <c r="X560" s="673"/>
      <c r="Y560" s="673"/>
      <c r="Z560" s="673"/>
    </row>
    <row r="561" spans="1:26" ht="62.25" customHeight="1" x14ac:dyDescent="0.2">
      <c r="A561" s="627"/>
      <c r="B561" s="627"/>
      <c r="C561" s="627"/>
      <c r="D561" s="627"/>
      <c r="E561" s="627"/>
      <c r="F561" s="630"/>
      <c r="G561" s="630"/>
      <c r="H561" s="630"/>
      <c r="I561" s="631"/>
      <c r="J561" s="632"/>
      <c r="K561" s="633"/>
      <c r="L561" s="633"/>
      <c r="M561" s="633"/>
      <c r="N561" s="632"/>
      <c r="O561" s="632"/>
      <c r="P561" s="632"/>
      <c r="Q561" s="632"/>
      <c r="R561" s="632"/>
      <c r="S561" s="628"/>
      <c r="T561" s="628"/>
      <c r="U561" s="628"/>
      <c r="V561" s="628"/>
      <c r="W561" s="673"/>
      <c r="X561" s="673"/>
      <c r="Y561" s="673"/>
      <c r="Z561" s="673"/>
    </row>
    <row r="562" spans="1:26" ht="62.25" customHeight="1" x14ac:dyDescent="0.2">
      <c r="A562" s="627"/>
      <c r="B562" s="627"/>
      <c r="C562" s="627"/>
      <c r="D562" s="627"/>
      <c r="E562" s="627"/>
      <c r="F562" s="630"/>
      <c r="G562" s="630"/>
      <c r="H562" s="630"/>
      <c r="I562" s="631"/>
      <c r="J562" s="632"/>
      <c r="K562" s="633"/>
      <c r="L562" s="633"/>
      <c r="M562" s="633"/>
      <c r="N562" s="632"/>
      <c r="O562" s="632"/>
      <c r="P562" s="632"/>
      <c r="Q562" s="632"/>
      <c r="R562" s="632"/>
      <c r="S562" s="628"/>
      <c r="T562" s="628"/>
      <c r="U562" s="628"/>
      <c r="V562" s="628"/>
      <c r="W562" s="673"/>
      <c r="X562" s="673"/>
      <c r="Y562" s="673"/>
      <c r="Z562" s="673"/>
    </row>
    <row r="563" spans="1:26" ht="62.25" customHeight="1" x14ac:dyDescent="0.2">
      <c r="A563" s="627"/>
      <c r="B563" s="627"/>
      <c r="C563" s="627"/>
      <c r="D563" s="627"/>
      <c r="E563" s="627"/>
      <c r="F563" s="630"/>
      <c r="G563" s="630"/>
      <c r="H563" s="630"/>
      <c r="I563" s="631"/>
      <c r="J563" s="632"/>
      <c r="K563" s="633"/>
      <c r="L563" s="633"/>
      <c r="M563" s="633"/>
      <c r="N563" s="632"/>
      <c r="O563" s="632"/>
      <c r="P563" s="632"/>
      <c r="Q563" s="632"/>
      <c r="R563" s="632"/>
      <c r="S563" s="628"/>
      <c r="T563" s="628"/>
      <c r="U563" s="628"/>
      <c r="V563" s="628"/>
      <c r="W563" s="673"/>
      <c r="X563" s="673"/>
      <c r="Y563" s="673"/>
      <c r="Z563" s="673"/>
    </row>
    <row r="564" spans="1:26" ht="62.25" customHeight="1" x14ac:dyDescent="0.2">
      <c r="A564" s="627"/>
      <c r="B564" s="627"/>
      <c r="C564" s="627"/>
      <c r="D564" s="627"/>
      <c r="E564" s="627"/>
      <c r="F564" s="630"/>
      <c r="G564" s="630"/>
      <c r="H564" s="630"/>
      <c r="I564" s="631"/>
      <c r="J564" s="632"/>
      <c r="K564" s="633"/>
      <c r="L564" s="633"/>
      <c r="M564" s="633"/>
      <c r="N564" s="632"/>
      <c r="O564" s="632"/>
      <c r="P564" s="632"/>
      <c r="Q564" s="632"/>
      <c r="R564" s="632"/>
      <c r="S564" s="628"/>
      <c r="T564" s="628"/>
      <c r="U564" s="628"/>
      <c r="V564" s="628"/>
      <c r="W564" s="673"/>
      <c r="X564" s="673"/>
      <c r="Y564" s="673"/>
      <c r="Z564" s="673"/>
    </row>
    <row r="565" spans="1:26" ht="62.25" customHeight="1" x14ac:dyDescent="0.2">
      <c r="A565" s="627"/>
      <c r="B565" s="627"/>
      <c r="C565" s="627"/>
      <c r="D565" s="627"/>
      <c r="E565" s="627"/>
      <c r="F565" s="630"/>
      <c r="G565" s="630"/>
      <c r="H565" s="630"/>
      <c r="I565" s="631"/>
      <c r="J565" s="632"/>
      <c r="K565" s="633"/>
      <c r="L565" s="633"/>
      <c r="M565" s="633"/>
      <c r="N565" s="632"/>
      <c r="O565" s="632"/>
      <c r="P565" s="632"/>
      <c r="Q565" s="632"/>
      <c r="R565" s="632"/>
      <c r="S565" s="628"/>
      <c r="T565" s="628"/>
      <c r="U565" s="628"/>
      <c r="V565" s="628"/>
      <c r="W565" s="673"/>
      <c r="X565" s="673"/>
      <c r="Y565" s="673"/>
      <c r="Z565" s="673"/>
    </row>
    <row r="566" spans="1:26" ht="62.25" customHeight="1" x14ac:dyDescent="0.2">
      <c r="A566" s="627"/>
      <c r="B566" s="627"/>
      <c r="C566" s="627"/>
      <c r="D566" s="627"/>
      <c r="E566" s="627"/>
      <c r="F566" s="630"/>
      <c r="G566" s="630"/>
      <c r="H566" s="630"/>
      <c r="I566" s="631"/>
      <c r="J566" s="632"/>
      <c r="K566" s="633"/>
      <c r="L566" s="633"/>
      <c r="M566" s="633"/>
      <c r="N566" s="632"/>
      <c r="O566" s="632"/>
      <c r="P566" s="632"/>
      <c r="Q566" s="632"/>
      <c r="R566" s="632"/>
      <c r="S566" s="628"/>
      <c r="T566" s="628"/>
      <c r="U566" s="628"/>
      <c r="V566" s="628"/>
      <c r="W566" s="673"/>
      <c r="X566" s="673"/>
      <c r="Y566" s="673"/>
      <c r="Z566" s="673"/>
    </row>
    <row r="567" spans="1:26" ht="62.25" customHeight="1" x14ac:dyDescent="0.2">
      <c r="A567" s="627"/>
      <c r="B567" s="627"/>
      <c r="C567" s="627"/>
      <c r="D567" s="627"/>
      <c r="E567" s="627"/>
      <c r="F567" s="630"/>
      <c r="G567" s="630"/>
      <c r="H567" s="630"/>
      <c r="I567" s="631"/>
      <c r="J567" s="632"/>
      <c r="K567" s="633"/>
      <c r="L567" s="633"/>
      <c r="M567" s="633"/>
      <c r="N567" s="632"/>
      <c r="O567" s="632"/>
      <c r="P567" s="632"/>
      <c r="Q567" s="632"/>
      <c r="R567" s="632"/>
      <c r="S567" s="628"/>
      <c r="T567" s="628"/>
      <c r="U567" s="628"/>
      <c r="V567" s="628"/>
      <c r="W567" s="673"/>
      <c r="X567" s="673"/>
      <c r="Y567" s="673"/>
      <c r="Z567" s="673"/>
    </row>
    <row r="568" spans="1:26" ht="62.25" customHeight="1" x14ac:dyDescent="0.2">
      <c r="A568" s="627"/>
      <c r="B568" s="627"/>
      <c r="C568" s="627"/>
      <c r="D568" s="627"/>
      <c r="E568" s="627"/>
      <c r="F568" s="630"/>
      <c r="G568" s="630"/>
      <c r="H568" s="630"/>
      <c r="I568" s="631"/>
      <c r="J568" s="632"/>
      <c r="K568" s="633"/>
      <c r="L568" s="633"/>
      <c r="M568" s="633"/>
      <c r="N568" s="632"/>
      <c r="O568" s="632"/>
      <c r="P568" s="632"/>
      <c r="Q568" s="632"/>
      <c r="R568" s="632"/>
      <c r="S568" s="628"/>
      <c r="T568" s="628"/>
      <c r="U568" s="628"/>
      <c r="V568" s="628"/>
      <c r="W568" s="673"/>
      <c r="X568" s="673"/>
      <c r="Y568" s="673"/>
      <c r="Z568" s="673"/>
    </row>
    <row r="569" spans="1:26" ht="62.25" customHeight="1" x14ac:dyDescent="0.2">
      <c r="A569" s="627"/>
      <c r="B569" s="627"/>
      <c r="C569" s="627"/>
      <c r="D569" s="627"/>
      <c r="E569" s="627"/>
      <c r="F569" s="630"/>
      <c r="G569" s="630"/>
      <c r="H569" s="630"/>
      <c r="I569" s="631"/>
      <c r="J569" s="632"/>
      <c r="K569" s="633"/>
      <c r="L569" s="633"/>
      <c r="M569" s="633"/>
      <c r="N569" s="632"/>
      <c r="O569" s="632"/>
      <c r="P569" s="632"/>
      <c r="Q569" s="632"/>
      <c r="R569" s="632"/>
      <c r="S569" s="628"/>
      <c r="T569" s="628"/>
      <c r="U569" s="628"/>
      <c r="V569" s="628"/>
      <c r="W569" s="673"/>
      <c r="X569" s="673"/>
      <c r="Y569" s="673"/>
      <c r="Z569" s="673"/>
    </row>
    <row r="570" spans="1:26" ht="62.25" customHeight="1" x14ac:dyDescent="0.2">
      <c r="A570" s="627"/>
      <c r="B570" s="627"/>
      <c r="C570" s="627"/>
      <c r="D570" s="627"/>
      <c r="E570" s="627"/>
      <c r="F570" s="630"/>
      <c r="G570" s="630"/>
      <c r="H570" s="630"/>
      <c r="I570" s="631"/>
      <c r="J570" s="632"/>
      <c r="K570" s="633"/>
      <c r="L570" s="633"/>
      <c r="M570" s="633"/>
      <c r="N570" s="632"/>
      <c r="O570" s="632"/>
      <c r="P570" s="632"/>
      <c r="Q570" s="632"/>
      <c r="R570" s="632"/>
      <c r="S570" s="628"/>
      <c r="T570" s="628"/>
      <c r="U570" s="628"/>
      <c r="V570" s="628"/>
      <c r="W570" s="673"/>
      <c r="X570" s="673"/>
      <c r="Y570" s="673"/>
      <c r="Z570" s="673"/>
    </row>
    <row r="571" spans="1:26" ht="62.25" customHeight="1" x14ac:dyDescent="0.2">
      <c r="A571" s="627"/>
      <c r="B571" s="627"/>
      <c r="C571" s="627"/>
      <c r="D571" s="627"/>
      <c r="E571" s="627"/>
      <c r="F571" s="630"/>
      <c r="G571" s="630"/>
      <c r="H571" s="630"/>
      <c r="I571" s="631"/>
      <c r="J571" s="632"/>
      <c r="K571" s="633"/>
      <c r="L571" s="633"/>
      <c r="M571" s="633"/>
      <c r="N571" s="632"/>
      <c r="O571" s="632"/>
      <c r="P571" s="632"/>
      <c r="Q571" s="632"/>
      <c r="R571" s="632"/>
      <c r="S571" s="628"/>
      <c r="T571" s="628"/>
      <c r="U571" s="628"/>
      <c r="V571" s="628"/>
      <c r="W571" s="673"/>
      <c r="X571" s="673"/>
      <c r="Y571" s="673"/>
      <c r="Z571" s="673"/>
    </row>
    <row r="572" spans="1:26" ht="62.25" customHeight="1" x14ac:dyDescent="0.2">
      <c r="A572" s="627"/>
      <c r="B572" s="627"/>
      <c r="C572" s="627"/>
      <c r="D572" s="627"/>
      <c r="E572" s="627"/>
      <c r="F572" s="630"/>
      <c r="G572" s="630"/>
      <c r="H572" s="630"/>
      <c r="I572" s="631"/>
      <c r="J572" s="632"/>
      <c r="K572" s="633"/>
      <c r="L572" s="633"/>
      <c r="M572" s="633"/>
      <c r="N572" s="632"/>
      <c r="O572" s="632"/>
      <c r="P572" s="632"/>
      <c r="Q572" s="632"/>
      <c r="R572" s="632"/>
      <c r="S572" s="628"/>
      <c r="T572" s="628"/>
      <c r="U572" s="628"/>
      <c r="V572" s="628"/>
      <c r="W572" s="673"/>
      <c r="X572" s="673"/>
      <c r="Y572" s="673"/>
      <c r="Z572" s="673"/>
    </row>
    <row r="573" spans="1:26" ht="62.25" customHeight="1" x14ac:dyDescent="0.2">
      <c r="A573" s="627"/>
      <c r="B573" s="627"/>
      <c r="C573" s="627"/>
      <c r="D573" s="627"/>
      <c r="E573" s="627"/>
      <c r="F573" s="630"/>
      <c r="G573" s="630"/>
      <c r="H573" s="630"/>
      <c r="I573" s="631"/>
      <c r="J573" s="632"/>
      <c r="K573" s="633"/>
      <c r="L573" s="633"/>
      <c r="M573" s="633"/>
      <c r="N573" s="632"/>
      <c r="O573" s="632"/>
      <c r="P573" s="632"/>
      <c r="Q573" s="632"/>
      <c r="R573" s="632"/>
      <c r="S573" s="628"/>
      <c r="T573" s="628"/>
      <c r="U573" s="628"/>
      <c r="V573" s="628"/>
      <c r="W573" s="673"/>
      <c r="X573" s="673"/>
      <c r="Y573" s="673"/>
      <c r="Z573" s="673"/>
    </row>
    <row r="574" spans="1:26" ht="62.25" customHeight="1" x14ac:dyDescent="0.2">
      <c r="A574" s="627"/>
      <c r="B574" s="627"/>
      <c r="C574" s="627"/>
      <c r="D574" s="627"/>
      <c r="E574" s="627"/>
      <c r="F574" s="630"/>
      <c r="G574" s="630"/>
      <c r="H574" s="630"/>
      <c r="I574" s="631"/>
      <c r="J574" s="632"/>
      <c r="K574" s="633"/>
      <c r="L574" s="633"/>
      <c r="M574" s="633"/>
      <c r="N574" s="632"/>
      <c r="O574" s="632"/>
      <c r="P574" s="632"/>
      <c r="Q574" s="632"/>
      <c r="R574" s="632"/>
      <c r="S574" s="628"/>
      <c r="T574" s="628"/>
      <c r="U574" s="628"/>
      <c r="V574" s="628"/>
      <c r="W574" s="673"/>
      <c r="X574" s="673"/>
      <c r="Y574" s="673"/>
      <c r="Z574" s="673"/>
    </row>
    <row r="575" spans="1:26" ht="62.25" customHeight="1" x14ac:dyDescent="0.2">
      <c r="A575" s="627"/>
      <c r="B575" s="627"/>
      <c r="C575" s="627"/>
      <c r="D575" s="627"/>
      <c r="E575" s="627"/>
      <c r="F575" s="630"/>
      <c r="G575" s="630"/>
      <c r="H575" s="630"/>
      <c r="I575" s="631"/>
      <c r="J575" s="632"/>
      <c r="K575" s="633"/>
      <c r="L575" s="633"/>
      <c r="M575" s="633"/>
      <c r="N575" s="632"/>
      <c r="O575" s="632"/>
      <c r="P575" s="632"/>
      <c r="Q575" s="632"/>
      <c r="R575" s="632"/>
      <c r="S575" s="628"/>
      <c r="T575" s="628"/>
      <c r="U575" s="628"/>
      <c r="V575" s="628"/>
      <c r="W575" s="673"/>
      <c r="X575" s="673"/>
      <c r="Y575" s="673"/>
      <c r="Z575" s="673"/>
    </row>
    <row r="576" spans="1:26" ht="62.25" customHeight="1" x14ac:dyDescent="0.2">
      <c r="A576" s="627"/>
      <c r="B576" s="627"/>
      <c r="C576" s="627"/>
      <c r="D576" s="627"/>
      <c r="E576" s="627"/>
      <c r="F576" s="630"/>
      <c r="G576" s="630"/>
      <c r="H576" s="630"/>
      <c r="I576" s="631"/>
      <c r="J576" s="632"/>
      <c r="K576" s="633"/>
      <c r="L576" s="633"/>
      <c r="M576" s="633"/>
      <c r="N576" s="632"/>
      <c r="O576" s="632"/>
      <c r="P576" s="632"/>
      <c r="Q576" s="632"/>
      <c r="R576" s="632"/>
      <c r="S576" s="628"/>
      <c r="T576" s="628"/>
      <c r="U576" s="628"/>
      <c r="V576" s="628"/>
      <c r="W576" s="673"/>
      <c r="X576" s="673"/>
      <c r="Y576" s="673"/>
      <c r="Z576" s="673"/>
    </row>
    <row r="577" spans="1:26" ht="62.25" customHeight="1" x14ac:dyDescent="0.2">
      <c r="A577" s="627"/>
      <c r="B577" s="627"/>
      <c r="C577" s="627"/>
      <c r="D577" s="627"/>
      <c r="E577" s="627"/>
      <c r="F577" s="630"/>
      <c r="G577" s="630"/>
      <c r="H577" s="630"/>
      <c r="I577" s="631"/>
      <c r="J577" s="632"/>
      <c r="K577" s="633"/>
      <c r="L577" s="633"/>
      <c r="M577" s="633"/>
      <c r="N577" s="632"/>
      <c r="O577" s="632"/>
      <c r="P577" s="632"/>
      <c r="Q577" s="632"/>
      <c r="R577" s="632"/>
      <c r="S577" s="628"/>
      <c r="T577" s="628"/>
      <c r="U577" s="628"/>
      <c r="V577" s="628"/>
      <c r="W577" s="673"/>
      <c r="X577" s="673"/>
      <c r="Y577" s="673"/>
      <c r="Z577" s="673"/>
    </row>
    <row r="578" spans="1:26" ht="62.25" customHeight="1" x14ac:dyDescent="0.2">
      <c r="A578" s="627"/>
      <c r="B578" s="627"/>
      <c r="C578" s="627"/>
      <c r="D578" s="627"/>
      <c r="E578" s="627"/>
      <c r="F578" s="630"/>
      <c r="G578" s="630"/>
      <c r="H578" s="630"/>
      <c r="I578" s="631"/>
      <c r="J578" s="632"/>
      <c r="K578" s="633"/>
      <c r="L578" s="633"/>
      <c r="M578" s="633"/>
      <c r="N578" s="632"/>
      <c r="O578" s="632"/>
      <c r="P578" s="632"/>
      <c r="Q578" s="632"/>
      <c r="R578" s="632"/>
      <c r="S578" s="628"/>
      <c r="T578" s="628"/>
      <c r="U578" s="628"/>
      <c r="V578" s="628"/>
      <c r="W578" s="673"/>
      <c r="X578" s="673"/>
      <c r="Y578" s="673"/>
      <c r="Z578" s="673"/>
    </row>
    <row r="579" spans="1:26" ht="62.25" customHeight="1" x14ac:dyDescent="0.2">
      <c r="A579" s="627"/>
      <c r="B579" s="627"/>
      <c r="C579" s="627"/>
      <c r="D579" s="627"/>
      <c r="E579" s="627"/>
      <c r="F579" s="630"/>
      <c r="G579" s="630"/>
      <c r="H579" s="630"/>
      <c r="I579" s="631"/>
      <c r="J579" s="632"/>
      <c r="K579" s="633"/>
      <c r="L579" s="633"/>
      <c r="M579" s="633"/>
      <c r="N579" s="632"/>
      <c r="O579" s="632"/>
      <c r="P579" s="632"/>
      <c r="Q579" s="632"/>
      <c r="R579" s="632"/>
      <c r="S579" s="628"/>
      <c r="T579" s="628"/>
      <c r="U579" s="628"/>
      <c r="V579" s="628"/>
      <c r="W579" s="673"/>
      <c r="X579" s="673"/>
      <c r="Y579" s="673"/>
      <c r="Z579" s="673"/>
    </row>
    <row r="580" spans="1:26" ht="62.25" customHeight="1" x14ac:dyDescent="0.2">
      <c r="A580" s="627"/>
      <c r="B580" s="627"/>
      <c r="C580" s="627"/>
      <c r="D580" s="627"/>
      <c r="E580" s="627"/>
      <c r="F580" s="630"/>
      <c r="G580" s="630"/>
      <c r="H580" s="630"/>
      <c r="I580" s="631"/>
      <c r="J580" s="632"/>
      <c r="K580" s="633"/>
      <c r="L580" s="633"/>
      <c r="M580" s="633"/>
      <c r="N580" s="632"/>
      <c r="O580" s="632"/>
      <c r="P580" s="632"/>
      <c r="Q580" s="632"/>
      <c r="R580" s="632"/>
      <c r="S580" s="628"/>
      <c r="T580" s="628"/>
      <c r="U580" s="628"/>
      <c r="V580" s="628"/>
      <c r="W580" s="673"/>
      <c r="X580" s="673"/>
      <c r="Y580" s="673"/>
      <c r="Z580" s="673"/>
    </row>
    <row r="581" spans="1:26" ht="62.25" customHeight="1" x14ac:dyDescent="0.2">
      <c r="A581" s="627"/>
      <c r="B581" s="627"/>
      <c r="C581" s="627"/>
      <c r="D581" s="627"/>
      <c r="E581" s="627"/>
      <c r="F581" s="630"/>
      <c r="G581" s="630"/>
      <c r="H581" s="630"/>
      <c r="I581" s="631"/>
      <c r="J581" s="632"/>
      <c r="K581" s="633"/>
      <c r="L581" s="633"/>
      <c r="M581" s="633"/>
      <c r="N581" s="632"/>
      <c r="O581" s="632"/>
      <c r="P581" s="632"/>
      <c r="Q581" s="632"/>
      <c r="R581" s="632"/>
      <c r="S581" s="628"/>
      <c r="T581" s="628"/>
      <c r="U581" s="628"/>
      <c r="V581" s="628"/>
      <c r="W581" s="673"/>
      <c r="X581" s="673"/>
      <c r="Y581" s="673"/>
      <c r="Z581" s="673"/>
    </row>
    <row r="582" spans="1:26" ht="62.25" customHeight="1" x14ac:dyDescent="0.2">
      <c r="A582" s="627"/>
      <c r="B582" s="627"/>
      <c r="C582" s="627"/>
      <c r="D582" s="627"/>
      <c r="E582" s="627"/>
      <c r="F582" s="630"/>
      <c r="G582" s="630"/>
      <c r="H582" s="630"/>
      <c r="I582" s="631"/>
      <c r="J582" s="632"/>
      <c r="K582" s="633"/>
      <c r="L582" s="633"/>
      <c r="M582" s="633"/>
      <c r="N582" s="632"/>
      <c r="O582" s="632"/>
      <c r="P582" s="632"/>
      <c r="Q582" s="632"/>
      <c r="R582" s="632"/>
      <c r="S582" s="628"/>
      <c r="T582" s="628"/>
      <c r="U582" s="628"/>
      <c r="V582" s="628"/>
      <c r="W582" s="673"/>
      <c r="X582" s="673"/>
      <c r="Y582" s="673"/>
      <c r="Z582" s="673"/>
    </row>
    <row r="583" spans="1:26" ht="62.25" customHeight="1" x14ac:dyDescent="0.2">
      <c r="A583" s="627"/>
      <c r="B583" s="627"/>
      <c r="C583" s="627"/>
      <c r="D583" s="627"/>
      <c r="E583" s="627"/>
      <c r="F583" s="630"/>
      <c r="G583" s="630"/>
      <c r="H583" s="630"/>
      <c r="I583" s="631"/>
      <c r="J583" s="632"/>
      <c r="K583" s="633"/>
      <c r="L583" s="633"/>
      <c r="M583" s="633"/>
      <c r="N583" s="632"/>
      <c r="O583" s="632"/>
      <c r="P583" s="632"/>
      <c r="Q583" s="632"/>
      <c r="R583" s="632"/>
      <c r="S583" s="628"/>
      <c r="T583" s="628"/>
      <c r="U583" s="628"/>
      <c r="V583" s="628"/>
      <c r="W583" s="673"/>
      <c r="X583" s="673"/>
      <c r="Y583" s="673"/>
      <c r="Z583" s="673"/>
    </row>
    <row r="584" spans="1:26" ht="62.25" customHeight="1" x14ac:dyDescent="0.2">
      <c r="A584" s="627"/>
      <c r="B584" s="627"/>
      <c r="C584" s="627"/>
      <c r="D584" s="627"/>
      <c r="E584" s="627"/>
      <c r="F584" s="630"/>
      <c r="G584" s="630"/>
      <c r="H584" s="630"/>
      <c r="I584" s="631"/>
      <c r="J584" s="632"/>
      <c r="K584" s="633"/>
      <c r="L584" s="633"/>
      <c r="M584" s="633"/>
      <c r="N584" s="632"/>
      <c r="O584" s="632"/>
      <c r="P584" s="632"/>
      <c r="Q584" s="632"/>
      <c r="R584" s="632"/>
      <c r="S584" s="628"/>
      <c r="T584" s="628"/>
      <c r="U584" s="628"/>
      <c r="V584" s="628"/>
      <c r="W584" s="673"/>
      <c r="X584" s="673"/>
      <c r="Y584" s="673"/>
      <c r="Z584" s="673"/>
    </row>
    <row r="585" spans="1:26" ht="62.25" customHeight="1" x14ac:dyDescent="0.2">
      <c r="A585" s="627"/>
      <c r="B585" s="627"/>
      <c r="C585" s="627"/>
      <c r="D585" s="627"/>
      <c r="E585" s="627"/>
      <c r="F585" s="630"/>
      <c r="G585" s="630"/>
      <c r="H585" s="630"/>
      <c r="I585" s="631"/>
      <c r="J585" s="632"/>
      <c r="K585" s="633"/>
      <c r="L585" s="633"/>
      <c r="M585" s="633"/>
      <c r="N585" s="632"/>
      <c r="O585" s="632"/>
      <c r="P585" s="632"/>
      <c r="Q585" s="632"/>
      <c r="R585" s="632"/>
      <c r="S585" s="628"/>
      <c r="T585" s="628"/>
      <c r="U585" s="628"/>
      <c r="V585" s="628"/>
      <c r="W585" s="673"/>
      <c r="X585" s="673"/>
      <c r="Y585" s="673"/>
      <c r="Z585" s="673"/>
    </row>
    <row r="586" spans="1:26" ht="62.25" customHeight="1" x14ac:dyDescent="0.2">
      <c r="A586" s="627"/>
      <c r="B586" s="627"/>
      <c r="C586" s="627"/>
      <c r="D586" s="627"/>
      <c r="E586" s="627"/>
      <c r="F586" s="630"/>
      <c r="G586" s="630"/>
      <c r="H586" s="630"/>
      <c r="I586" s="631"/>
      <c r="J586" s="632"/>
      <c r="K586" s="633"/>
      <c r="L586" s="633"/>
      <c r="M586" s="633"/>
      <c r="N586" s="632"/>
      <c r="O586" s="632"/>
      <c r="P586" s="632"/>
      <c r="Q586" s="632"/>
      <c r="R586" s="632"/>
      <c r="S586" s="628"/>
      <c r="T586" s="628"/>
      <c r="U586" s="628"/>
      <c r="V586" s="628"/>
      <c r="W586" s="673"/>
      <c r="X586" s="673"/>
      <c r="Y586" s="673"/>
      <c r="Z586" s="673"/>
    </row>
    <row r="587" spans="1:26" ht="62.25" customHeight="1" x14ac:dyDescent="0.2">
      <c r="A587" s="627"/>
      <c r="B587" s="627"/>
      <c r="C587" s="627"/>
      <c r="D587" s="627"/>
      <c r="E587" s="627"/>
      <c r="F587" s="630"/>
      <c r="G587" s="630"/>
      <c r="H587" s="630"/>
      <c r="I587" s="631"/>
      <c r="J587" s="632"/>
      <c r="K587" s="633"/>
      <c r="L587" s="633"/>
      <c r="M587" s="633"/>
      <c r="N587" s="632"/>
      <c r="O587" s="632"/>
      <c r="P587" s="632"/>
      <c r="Q587" s="632"/>
      <c r="R587" s="632"/>
      <c r="S587" s="628"/>
      <c r="T587" s="628"/>
      <c r="U587" s="628"/>
      <c r="V587" s="628"/>
      <c r="W587" s="673"/>
      <c r="X587" s="673"/>
      <c r="Y587" s="673"/>
      <c r="Z587" s="673"/>
    </row>
    <row r="588" spans="1:26" ht="62.25" customHeight="1" x14ac:dyDescent="0.2">
      <c r="A588" s="627"/>
      <c r="B588" s="627"/>
      <c r="C588" s="627"/>
      <c r="D588" s="627"/>
      <c r="E588" s="627"/>
      <c r="F588" s="630"/>
      <c r="G588" s="630"/>
      <c r="H588" s="630"/>
      <c r="I588" s="631"/>
      <c r="J588" s="632"/>
      <c r="K588" s="633"/>
      <c r="L588" s="633"/>
      <c r="M588" s="633"/>
      <c r="N588" s="632"/>
      <c r="O588" s="632"/>
      <c r="P588" s="632"/>
      <c r="Q588" s="632"/>
      <c r="R588" s="632"/>
      <c r="S588" s="628"/>
      <c r="T588" s="628"/>
      <c r="U588" s="628"/>
      <c r="V588" s="628"/>
      <c r="W588" s="673"/>
      <c r="X588" s="673"/>
      <c r="Y588" s="673"/>
      <c r="Z588" s="673"/>
    </row>
    <row r="589" spans="1:26" ht="62.25" customHeight="1" x14ac:dyDescent="0.2">
      <c r="A589" s="627"/>
      <c r="B589" s="627"/>
      <c r="C589" s="627"/>
      <c r="D589" s="627"/>
      <c r="E589" s="627"/>
      <c r="F589" s="630"/>
      <c r="G589" s="630"/>
      <c r="H589" s="630"/>
      <c r="I589" s="631"/>
      <c r="J589" s="632"/>
      <c r="K589" s="633"/>
      <c r="L589" s="633"/>
      <c r="M589" s="633"/>
      <c r="N589" s="632"/>
      <c r="O589" s="632"/>
      <c r="P589" s="632"/>
      <c r="Q589" s="632"/>
      <c r="R589" s="632"/>
      <c r="S589" s="628"/>
      <c r="T589" s="628"/>
      <c r="U589" s="628"/>
      <c r="V589" s="628"/>
      <c r="W589" s="673"/>
      <c r="X589" s="673"/>
      <c r="Y589" s="673"/>
      <c r="Z589" s="673"/>
    </row>
    <row r="590" spans="1:26" ht="62.25" customHeight="1" x14ac:dyDescent="0.2">
      <c r="A590" s="627"/>
      <c r="B590" s="627"/>
      <c r="C590" s="627"/>
      <c r="D590" s="627"/>
      <c r="E590" s="627"/>
      <c r="F590" s="630"/>
      <c r="G590" s="630"/>
      <c r="H590" s="630"/>
      <c r="I590" s="631"/>
      <c r="J590" s="632"/>
      <c r="K590" s="633"/>
      <c r="L590" s="633"/>
      <c r="M590" s="633"/>
      <c r="N590" s="632"/>
      <c r="O590" s="632"/>
      <c r="P590" s="632"/>
      <c r="Q590" s="632"/>
      <c r="R590" s="632"/>
      <c r="S590" s="628"/>
      <c r="T590" s="628"/>
      <c r="U590" s="628"/>
      <c r="V590" s="628"/>
      <c r="W590" s="673"/>
      <c r="X590" s="673"/>
      <c r="Y590" s="673"/>
      <c r="Z590" s="673"/>
    </row>
    <row r="591" spans="1:26" ht="62.25" customHeight="1" x14ac:dyDescent="0.2">
      <c r="A591" s="627"/>
      <c r="B591" s="627"/>
      <c r="C591" s="627"/>
      <c r="D591" s="627"/>
      <c r="E591" s="627"/>
      <c r="F591" s="630"/>
      <c r="G591" s="630"/>
      <c r="H591" s="630"/>
      <c r="I591" s="631"/>
      <c r="J591" s="632"/>
      <c r="K591" s="633"/>
      <c r="L591" s="633"/>
      <c r="M591" s="633"/>
      <c r="N591" s="632"/>
      <c r="O591" s="632"/>
      <c r="P591" s="632"/>
      <c r="Q591" s="632"/>
      <c r="R591" s="632"/>
      <c r="S591" s="628"/>
      <c r="T591" s="628"/>
      <c r="U591" s="628"/>
      <c r="V591" s="628"/>
      <c r="W591" s="673"/>
      <c r="X591" s="673"/>
      <c r="Y591" s="673"/>
      <c r="Z591" s="673"/>
    </row>
    <row r="592" spans="1:26" ht="62.25" customHeight="1" x14ac:dyDescent="0.2">
      <c r="A592" s="627"/>
      <c r="B592" s="627"/>
      <c r="C592" s="627"/>
      <c r="D592" s="627"/>
      <c r="E592" s="627"/>
      <c r="F592" s="630"/>
      <c r="G592" s="630"/>
      <c r="H592" s="630"/>
      <c r="I592" s="631"/>
      <c r="J592" s="632"/>
      <c r="K592" s="633"/>
      <c r="L592" s="633"/>
      <c r="M592" s="633"/>
      <c r="N592" s="632"/>
      <c r="O592" s="632"/>
      <c r="P592" s="632"/>
      <c r="Q592" s="632"/>
      <c r="R592" s="632"/>
      <c r="S592" s="628"/>
      <c r="T592" s="628"/>
      <c r="U592" s="628"/>
      <c r="V592" s="628"/>
      <c r="W592" s="673"/>
      <c r="X592" s="673"/>
      <c r="Y592" s="673"/>
      <c r="Z592" s="673"/>
    </row>
    <row r="593" spans="1:26" ht="62.25" customHeight="1" x14ac:dyDescent="0.2">
      <c r="A593" s="627"/>
      <c r="B593" s="627"/>
      <c r="C593" s="627"/>
      <c r="D593" s="627"/>
      <c r="E593" s="627"/>
      <c r="F593" s="630"/>
      <c r="G593" s="630"/>
      <c r="H593" s="630"/>
      <c r="I593" s="631"/>
      <c r="J593" s="632"/>
      <c r="K593" s="633"/>
      <c r="L593" s="633"/>
      <c r="M593" s="633"/>
      <c r="N593" s="632"/>
      <c r="O593" s="632"/>
      <c r="P593" s="632"/>
      <c r="Q593" s="632"/>
      <c r="R593" s="632"/>
      <c r="S593" s="628"/>
      <c r="T593" s="628"/>
      <c r="U593" s="628"/>
      <c r="V593" s="628"/>
      <c r="W593" s="673"/>
      <c r="X593" s="673"/>
      <c r="Y593" s="673"/>
      <c r="Z593" s="673"/>
    </row>
    <row r="594" spans="1:26" ht="62.25" customHeight="1" x14ac:dyDescent="0.2">
      <c r="A594" s="627"/>
      <c r="B594" s="627"/>
      <c r="C594" s="627"/>
      <c r="D594" s="627"/>
      <c r="E594" s="627"/>
      <c r="F594" s="630"/>
      <c r="G594" s="630"/>
      <c r="H594" s="630"/>
      <c r="I594" s="631"/>
      <c r="J594" s="632"/>
      <c r="K594" s="633"/>
      <c r="L594" s="633"/>
      <c r="M594" s="633"/>
      <c r="N594" s="632"/>
      <c r="O594" s="632"/>
      <c r="P594" s="632"/>
      <c r="Q594" s="632"/>
      <c r="R594" s="632"/>
      <c r="S594" s="628"/>
      <c r="T594" s="628"/>
      <c r="U594" s="628"/>
      <c r="V594" s="628"/>
      <c r="W594" s="673"/>
      <c r="X594" s="673"/>
      <c r="Y594" s="673"/>
      <c r="Z594" s="673"/>
    </row>
    <row r="595" spans="1:26" ht="62.25" customHeight="1" x14ac:dyDescent="0.2">
      <c r="A595" s="627"/>
      <c r="B595" s="627"/>
      <c r="C595" s="627"/>
      <c r="D595" s="627"/>
      <c r="E595" s="627"/>
      <c r="F595" s="630"/>
      <c r="G595" s="630"/>
      <c r="H595" s="630"/>
      <c r="I595" s="631"/>
      <c r="J595" s="632"/>
      <c r="K595" s="633"/>
      <c r="L595" s="633"/>
      <c r="M595" s="633"/>
      <c r="N595" s="632"/>
      <c r="O595" s="632"/>
      <c r="P595" s="632"/>
      <c r="Q595" s="632"/>
      <c r="R595" s="632"/>
      <c r="S595" s="628"/>
      <c r="T595" s="628"/>
      <c r="U595" s="628"/>
      <c r="V595" s="628"/>
      <c r="W595" s="673"/>
      <c r="X595" s="673"/>
      <c r="Y595" s="673"/>
      <c r="Z595" s="673"/>
    </row>
    <row r="596" spans="1:26" ht="62.25" customHeight="1" x14ac:dyDescent="0.2">
      <c r="A596" s="627"/>
      <c r="B596" s="627"/>
      <c r="C596" s="627"/>
      <c r="D596" s="627"/>
      <c r="E596" s="627"/>
      <c r="F596" s="630"/>
      <c r="G596" s="630"/>
      <c r="H596" s="630"/>
      <c r="I596" s="631"/>
      <c r="J596" s="632"/>
      <c r="K596" s="633"/>
      <c r="L596" s="633"/>
      <c r="M596" s="633"/>
      <c r="N596" s="632"/>
      <c r="O596" s="632"/>
      <c r="P596" s="632"/>
      <c r="Q596" s="632"/>
      <c r="R596" s="632"/>
      <c r="S596" s="628"/>
      <c r="T596" s="628"/>
      <c r="U596" s="628"/>
      <c r="V596" s="628"/>
      <c r="W596" s="673"/>
      <c r="X596" s="673"/>
      <c r="Y596" s="673"/>
      <c r="Z596" s="673"/>
    </row>
    <row r="597" spans="1:26" ht="62.25" customHeight="1" x14ac:dyDescent="0.2">
      <c r="A597" s="627"/>
      <c r="B597" s="627"/>
      <c r="C597" s="627"/>
      <c r="D597" s="627"/>
      <c r="E597" s="627"/>
      <c r="F597" s="630"/>
      <c r="G597" s="630"/>
      <c r="H597" s="630"/>
      <c r="I597" s="631"/>
      <c r="J597" s="632"/>
      <c r="K597" s="633"/>
      <c r="L597" s="633"/>
      <c r="M597" s="633"/>
      <c r="N597" s="632"/>
      <c r="O597" s="632"/>
      <c r="P597" s="632"/>
      <c r="Q597" s="632"/>
      <c r="R597" s="632"/>
      <c r="S597" s="628"/>
      <c r="T597" s="628"/>
      <c r="U597" s="628"/>
      <c r="V597" s="628"/>
      <c r="W597" s="673"/>
      <c r="X597" s="673"/>
      <c r="Y597" s="673"/>
      <c r="Z597" s="673"/>
    </row>
    <row r="598" spans="1:26" ht="62.25" customHeight="1" x14ac:dyDescent="0.2">
      <c r="A598" s="627"/>
      <c r="B598" s="627"/>
      <c r="C598" s="627"/>
      <c r="D598" s="627"/>
      <c r="E598" s="627"/>
      <c r="F598" s="630"/>
      <c r="G598" s="630"/>
      <c r="H598" s="630"/>
      <c r="I598" s="631"/>
      <c r="J598" s="632"/>
      <c r="K598" s="633"/>
      <c r="L598" s="633"/>
      <c r="M598" s="633"/>
      <c r="N598" s="632"/>
      <c r="O598" s="632"/>
      <c r="P598" s="632"/>
      <c r="Q598" s="632"/>
      <c r="R598" s="632"/>
      <c r="S598" s="628"/>
      <c r="T598" s="628"/>
      <c r="U598" s="628"/>
      <c r="V598" s="628"/>
      <c r="W598" s="673"/>
      <c r="X598" s="673"/>
      <c r="Y598" s="673"/>
      <c r="Z598" s="673"/>
    </row>
    <row r="599" spans="1:26" ht="62.25" customHeight="1" x14ac:dyDescent="0.2">
      <c r="A599" s="627"/>
      <c r="B599" s="627"/>
      <c r="C599" s="627"/>
      <c r="D599" s="627"/>
      <c r="E599" s="627"/>
      <c r="F599" s="630"/>
      <c r="G599" s="630"/>
      <c r="H599" s="630"/>
      <c r="I599" s="631"/>
      <c r="J599" s="632"/>
      <c r="K599" s="633"/>
      <c r="L599" s="633"/>
      <c r="M599" s="633"/>
      <c r="N599" s="632"/>
      <c r="O599" s="632"/>
      <c r="P599" s="632"/>
      <c r="Q599" s="632"/>
      <c r="R599" s="632"/>
      <c r="S599" s="628"/>
      <c r="T599" s="628"/>
      <c r="U599" s="628"/>
      <c r="V599" s="628"/>
      <c r="W599" s="673"/>
      <c r="X599" s="673"/>
      <c r="Y599" s="673"/>
      <c r="Z599" s="673"/>
    </row>
    <row r="600" spans="1:26" ht="62.25" customHeight="1" x14ac:dyDescent="0.2">
      <c r="A600" s="627"/>
      <c r="B600" s="627"/>
      <c r="C600" s="627"/>
      <c r="D600" s="627"/>
      <c r="E600" s="627"/>
      <c r="F600" s="630"/>
      <c r="G600" s="630"/>
      <c r="H600" s="630"/>
      <c r="I600" s="631"/>
      <c r="J600" s="632"/>
      <c r="K600" s="633"/>
      <c r="L600" s="633"/>
      <c r="M600" s="633"/>
      <c r="N600" s="632"/>
      <c r="O600" s="632"/>
      <c r="P600" s="632"/>
      <c r="Q600" s="632"/>
      <c r="R600" s="632"/>
      <c r="S600" s="628"/>
      <c r="T600" s="628"/>
      <c r="U600" s="628"/>
      <c r="V600" s="628"/>
      <c r="W600" s="673"/>
      <c r="X600" s="673"/>
      <c r="Y600" s="673"/>
      <c r="Z600" s="673"/>
    </row>
    <row r="601" spans="1:26" ht="62.25" customHeight="1" x14ac:dyDescent="0.2">
      <c r="A601" s="627"/>
      <c r="B601" s="627"/>
      <c r="C601" s="627"/>
      <c r="D601" s="627"/>
      <c r="E601" s="627"/>
      <c r="F601" s="630"/>
      <c r="G601" s="630"/>
      <c r="H601" s="630"/>
      <c r="I601" s="631"/>
      <c r="J601" s="632"/>
      <c r="K601" s="633"/>
      <c r="L601" s="633"/>
      <c r="M601" s="633"/>
      <c r="N601" s="632"/>
      <c r="O601" s="632"/>
      <c r="P601" s="632"/>
      <c r="Q601" s="632"/>
      <c r="R601" s="632"/>
      <c r="S601" s="628"/>
      <c r="T601" s="628"/>
      <c r="U601" s="628"/>
      <c r="V601" s="628"/>
      <c r="W601" s="673"/>
      <c r="X601" s="673"/>
      <c r="Y601" s="673"/>
      <c r="Z601" s="673"/>
    </row>
    <row r="602" spans="1:26" ht="62.25" customHeight="1" x14ac:dyDescent="0.2">
      <c r="A602" s="627"/>
      <c r="B602" s="627"/>
      <c r="C602" s="627"/>
      <c r="D602" s="627"/>
      <c r="E602" s="627"/>
      <c r="F602" s="630"/>
      <c r="G602" s="630"/>
      <c r="H602" s="630"/>
      <c r="I602" s="631"/>
      <c r="J602" s="632"/>
      <c r="K602" s="633"/>
      <c r="L602" s="633"/>
      <c r="M602" s="633"/>
      <c r="N602" s="632"/>
      <c r="O602" s="632"/>
      <c r="P602" s="632"/>
      <c r="Q602" s="632"/>
      <c r="R602" s="632"/>
      <c r="S602" s="628"/>
      <c r="T602" s="628"/>
      <c r="U602" s="628"/>
      <c r="V602" s="628"/>
      <c r="W602" s="673"/>
      <c r="X602" s="673"/>
      <c r="Y602" s="673"/>
      <c r="Z602" s="673"/>
    </row>
    <row r="603" spans="1:26" ht="62.25" customHeight="1" x14ac:dyDescent="0.2">
      <c r="A603" s="627"/>
      <c r="B603" s="627"/>
      <c r="C603" s="627"/>
      <c r="D603" s="627"/>
      <c r="E603" s="627"/>
      <c r="F603" s="630"/>
      <c r="G603" s="630"/>
      <c r="H603" s="630"/>
      <c r="I603" s="631"/>
      <c r="J603" s="632"/>
      <c r="K603" s="633"/>
      <c r="L603" s="633"/>
      <c r="M603" s="633"/>
      <c r="N603" s="632"/>
      <c r="O603" s="632"/>
      <c r="P603" s="632"/>
      <c r="Q603" s="632"/>
      <c r="R603" s="632"/>
      <c r="S603" s="628"/>
      <c r="T603" s="628"/>
      <c r="U603" s="628"/>
      <c r="V603" s="628"/>
      <c r="W603" s="673"/>
      <c r="X603" s="673"/>
      <c r="Y603" s="673"/>
      <c r="Z603" s="673"/>
    </row>
    <row r="604" spans="1:26" ht="62.25" customHeight="1" x14ac:dyDescent="0.2">
      <c r="A604" s="627"/>
      <c r="B604" s="627"/>
      <c r="C604" s="627"/>
      <c r="D604" s="627"/>
      <c r="E604" s="627"/>
      <c r="F604" s="630"/>
      <c r="G604" s="630"/>
      <c r="H604" s="630"/>
      <c r="I604" s="631"/>
      <c r="J604" s="632"/>
      <c r="K604" s="633"/>
      <c r="L604" s="633"/>
      <c r="M604" s="633"/>
      <c r="N604" s="632"/>
      <c r="O604" s="632"/>
      <c r="P604" s="632"/>
      <c r="Q604" s="632"/>
      <c r="R604" s="632"/>
      <c r="S604" s="628"/>
      <c r="T604" s="628"/>
      <c r="U604" s="628"/>
      <c r="V604" s="628"/>
      <c r="W604" s="673"/>
      <c r="X604" s="673"/>
      <c r="Y604" s="673"/>
      <c r="Z604" s="673"/>
    </row>
    <row r="605" spans="1:26" ht="62.25" customHeight="1" x14ac:dyDescent="0.2">
      <c r="A605" s="627"/>
      <c r="B605" s="627"/>
      <c r="C605" s="627"/>
      <c r="D605" s="627"/>
      <c r="E605" s="627"/>
      <c r="F605" s="630"/>
      <c r="G605" s="630"/>
      <c r="H605" s="630"/>
      <c r="I605" s="631"/>
      <c r="J605" s="632"/>
      <c r="K605" s="633"/>
      <c r="L605" s="633"/>
      <c r="M605" s="633"/>
      <c r="N605" s="632"/>
      <c r="O605" s="632"/>
      <c r="P605" s="632"/>
      <c r="Q605" s="632"/>
      <c r="R605" s="632"/>
      <c r="S605" s="628"/>
      <c r="T605" s="628"/>
      <c r="U605" s="628"/>
      <c r="V605" s="628"/>
      <c r="W605" s="673"/>
      <c r="X605" s="673"/>
      <c r="Y605" s="673"/>
      <c r="Z605" s="673"/>
    </row>
    <row r="606" spans="1:26" ht="62.25" customHeight="1" x14ac:dyDescent="0.2">
      <c r="A606" s="627"/>
      <c r="B606" s="627"/>
      <c r="C606" s="627"/>
      <c r="D606" s="627"/>
      <c r="E606" s="627"/>
      <c r="F606" s="630"/>
      <c r="G606" s="630"/>
      <c r="H606" s="630"/>
      <c r="I606" s="631"/>
      <c r="J606" s="632"/>
      <c r="K606" s="633"/>
      <c r="L606" s="633"/>
      <c r="M606" s="633"/>
      <c r="N606" s="632"/>
      <c r="O606" s="632"/>
      <c r="P606" s="632"/>
      <c r="Q606" s="632"/>
      <c r="R606" s="632"/>
      <c r="S606" s="628"/>
      <c r="T606" s="628"/>
      <c r="U606" s="628"/>
      <c r="V606" s="628"/>
      <c r="W606" s="673"/>
      <c r="X606" s="673"/>
      <c r="Y606" s="673"/>
      <c r="Z606" s="673"/>
    </row>
    <row r="607" spans="1:26" ht="62.25" customHeight="1" x14ac:dyDescent="0.2">
      <c r="A607" s="627"/>
      <c r="B607" s="627"/>
      <c r="C607" s="627"/>
      <c r="D607" s="627"/>
      <c r="E607" s="627"/>
      <c r="F607" s="630"/>
      <c r="G607" s="630"/>
      <c r="H607" s="630"/>
      <c r="I607" s="631"/>
      <c r="J607" s="632"/>
      <c r="K607" s="633"/>
      <c r="L607" s="633"/>
      <c r="M607" s="633"/>
      <c r="N607" s="632"/>
      <c r="O607" s="632"/>
      <c r="P607" s="632"/>
      <c r="Q607" s="632"/>
      <c r="R607" s="632"/>
      <c r="S607" s="628"/>
      <c r="T607" s="628"/>
      <c r="U607" s="628"/>
      <c r="V607" s="628"/>
      <c r="W607" s="673"/>
      <c r="X607" s="673"/>
      <c r="Y607" s="673"/>
      <c r="Z607" s="673"/>
    </row>
    <row r="608" spans="1:26" ht="62.25" customHeight="1" x14ac:dyDescent="0.2">
      <c r="A608" s="627"/>
      <c r="B608" s="627"/>
      <c r="C608" s="627"/>
      <c r="D608" s="627"/>
      <c r="E608" s="627"/>
      <c r="F608" s="630"/>
      <c r="G608" s="630"/>
      <c r="H608" s="630"/>
      <c r="I608" s="631"/>
      <c r="J608" s="632"/>
      <c r="K608" s="633"/>
      <c r="L608" s="633"/>
      <c r="M608" s="633"/>
      <c r="N608" s="632"/>
      <c r="O608" s="632"/>
      <c r="P608" s="632"/>
      <c r="Q608" s="632"/>
      <c r="R608" s="632"/>
      <c r="S608" s="628"/>
      <c r="T608" s="628"/>
      <c r="U608" s="628"/>
      <c r="V608" s="628"/>
      <c r="W608" s="673"/>
      <c r="X608" s="673"/>
      <c r="Y608" s="673"/>
      <c r="Z608" s="673"/>
    </row>
    <row r="609" spans="1:26" ht="62.25" customHeight="1" x14ac:dyDescent="0.2">
      <c r="A609" s="627"/>
      <c r="B609" s="627"/>
      <c r="C609" s="627"/>
      <c r="D609" s="627"/>
      <c r="E609" s="627"/>
      <c r="F609" s="630"/>
      <c r="G609" s="630"/>
      <c r="H609" s="630"/>
      <c r="I609" s="631"/>
      <c r="J609" s="632"/>
      <c r="K609" s="633"/>
      <c r="L609" s="633"/>
      <c r="M609" s="633"/>
      <c r="N609" s="632"/>
      <c r="O609" s="632"/>
      <c r="P609" s="632"/>
      <c r="Q609" s="632"/>
      <c r="R609" s="632"/>
      <c r="S609" s="628"/>
      <c r="T609" s="628"/>
      <c r="U609" s="628"/>
      <c r="V609" s="628"/>
      <c r="W609" s="673"/>
      <c r="X609" s="673"/>
      <c r="Y609" s="673"/>
      <c r="Z609" s="673"/>
    </row>
    <row r="610" spans="1:26" ht="62.25" customHeight="1" x14ac:dyDescent="0.2">
      <c r="A610" s="627"/>
      <c r="B610" s="627"/>
      <c r="C610" s="627"/>
      <c r="D610" s="627"/>
      <c r="E610" s="627"/>
      <c r="F610" s="630"/>
      <c r="G610" s="630"/>
      <c r="H610" s="630"/>
      <c r="I610" s="631"/>
      <c r="J610" s="632"/>
      <c r="K610" s="633"/>
      <c r="L610" s="633"/>
      <c r="M610" s="633"/>
      <c r="N610" s="632"/>
      <c r="O610" s="632"/>
      <c r="P610" s="632"/>
      <c r="Q610" s="632"/>
      <c r="R610" s="632"/>
      <c r="S610" s="628"/>
      <c r="T610" s="628"/>
      <c r="U610" s="628"/>
      <c r="V610" s="628"/>
      <c r="W610" s="673"/>
      <c r="X610" s="673"/>
      <c r="Y610" s="673"/>
      <c r="Z610" s="673"/>
    </row>
    <row r="611" spans="1:26" ht="62.25" customHeight="1" x14ac:dyDescent="0.2">
      <c r="A611" s="627"/>
      <c r="B611" s="627"/>
      <c r="C611" s="627"/>
      <c r="D611" s="627"/>
      <c r="E611" s="627"/>
      <c r="F611" s="630"/>
      <c r="G611" s="630"/>
      <c r="H611" s="630"/>
      <c r="I611" s="631"/>
      <c r="J611" s="632"/>
      <c r="K611" s="633"/>
      <c r="L611" s="633"/>
      <c r="M611" s="633"/>
      <c r="N611" s="632"/>
      <c r="O611" s="632"/>
      <c r="P611" s="632"/>
      <c r="Q611" s="632"/>
      <c r="R611" s="632"/>
      <c r="S611" s="628"/>
      <c r="T611" s="628"/>
      <c r="U611" s="628"/>
      <c r="V611" s="628"/>
      <c r="W611" s="673"/>
      <c r="X611" s="673"/>
      <c r="Y611" s="673"/>
      <c r="Z611" s="673"/>
    </row>
    <row r="612" spans="1:26" ht="62.25" customHeight="1" x14ac:dyDescent="0.2">
      <c r="A612" s="627"/>
      <c r="B612" s="627"/>
      <c r="C612" s="627"/>
      <c r="D612" s="627"/>
      <c r="E612" s="627"/>
      <c r="F612" s="630"/>
      <c r="G612" s="630"/>
      <c r="H612" s="630"/>
      <c r="I612" s="631"/>
      <c r="J612" s="632"/>
      <c r="K612" s="633"/>
      <c r="L612" s="633"/>
      <c r="M612" s="633"/>
      <c r="N612" s="632"/>
      <c r="O612" s="632"/>
      <c r="P612" s="632"/>
      <c r="Q612" s="632"/>
      <c r="R612" s="632"/>
      <c r="S612" s="628"/>
      <c r="T612" s="628"/>
      <c r="U612" s="628"/>
      <c r="V612" s="628"/>
      <c r="W612" s="673"/>
      <c r="X612" s="673"/>
      <c r="Y612" s="673"/>
      <c r="Z612" s="673"/>
    </row>
    <row r="613" spans="1:26" ht="62.25" customHeight="1" x14ac:dyDescent="0.2">
      <c r="A613" s="627"/>
      <c r="B613" s="627"/>
      <c r="C613" s="627"/>
      <c r="D613" s="627"/>
      <c r="E613" s="627"/>
      <c r="F613" s="630"/>
      <c r="G613" s="630"/>
      <c r="H613" s="630"/>
      <c r="I613" s="631"/>
      <c r="J613" s="632"/>
      <c r="K613" s="633"/>
      <c r="L613" s="633"/>
      <c r="M613" s="633"/>
      <c r="N613" s="632"/>
      <c r="O613" s="632"/>
      <c r="P613" s="632"/>
      <c r="Q613" s="632"/>
      <c r="R613" s="632"/>
      <c r="S613" s="628"/>
      <c r="T613" s="628"/>
      <c r="U613" s="628"/>
      <c r="V613" s="628"/>
      <c r="W613" s="673"/>
      <c r="X613" s="673"/>
      <c r="Y613" s="673"/>
      <c r="Z613" s="673"/>
    </row>
    <row r="614" spans="1:26" ht="62.25" customHeight="1" x14ac:dyDescent="0.2">
      <c r="A614" s="627"/>
      <c r="B614" s="627"/>
      <c r="C614" s="627"/>
      <c r="D614" s="627"/>
      <c r="E614" s="627"/>
      <c r="F614" s="630"/>
      <c r="G614" s="630"/>
      <c r="H614" s="630"/>
      <c r="I614" s="631"/>
      <c r="J614" s="632"/>
      <c r="K614" s="633"/>
      <c r="L614" s="633"/>
      <c r="M614" s="633"/>
      <c r="N614" s="632"/>
      <c r="O614" s="632"/>
      <c r="P614" s="632"/>
      <c r="Q614" s="632"/>
      <c r="R614" s="632"/>
      <c r="S614" s="628"/>
      <c r="T614" s="628"/>
      <c r="U614" s="628"/>
      <c r="V614" s="628"/>
      <c r="W614" s="673"/>
      <c r="X614" s="673"/>
      <c r="Y614" s="673"/>
      <c r="Z614" s="673"/>
    </row>
    <row r="615" spans="1:26" ht="62.25" customHeight="1" x14ac:dyDescent="0.2">
      <c r="A615" s="627"/>
      <c r="B615" s="627"/>
      <c r="C615" s="627"/>
      <c r="D615" s="627"/>
      <c r="E615" s="627"/>
      <c r="F615" s="630"/>
      <c r="G615" s="630"/>
      <c r="H615" s="630"/>
      <c r="I615" s="631"/>
      <c r="J615" s="632"/>
      <c r="K615" s="633"/>
      <c r="L615" s="633"/>
      <c r="M615" s="633"/>
      <c r="N615" s="632"/>
      <c r="O615" s="632"/>
      <c r="P615" s="632"/>
      <c r="Q615" s="632"/>
      <c r="R615" s="632"/>
      <c r="S615" s="628"/>
      <c r="T615" s="628"/>
      <c r="U615" s="628"/>
      <c r="V615" s="628"/>
      <c r="W615" s="673"/>
      <c r="X615" s="673"/>
      <c r="Y615" s="673"/>
      <c r="Z615" s="673"/>
    </row>
    <row r="616" spans="1:26" ht="62.25" customHeight="1" x14ac:dyDescent="0.2">
      <c r="A616" s="627"/>
      <c r="B616" s="627"/>
      <c r="C616" s="627"/>
      <c r="D616" s="627"/>
      <c r="E616" s="627"/>
      <c r="F616" s="630"/>
      <c r="G616" s="630"/>
      <c r="H616" s="630"/>
      <c r="I616" s="631"/>
      <c r="J616" s="632"/>
      <c r="K616" s="633"/>
      <c r="L616" s="633"/>
      <c r="M616" s="633"/>
      <c r="N616" s="632"/>
      <c r="O616" s="632"/>
      <c r="P616" s="632"/>
      <c r="Q616" s="632"/>
      <c r="R616" s="632"/>
      <c r="S616" s="628"/>
      <c r="T616" s="628"/>
      <c r="U616" s="628"/>
      <c r="V616" s="628"/>
      <c r="W616" s="673"/>
      <c r="X616" s="673"/>
      <c r="Y616" s="673"/>
      <c r="Z616" s="673"/>
    </row>
    <row r="617" spans="1:26" ht="62.25" customHeight="1" x14ac:dyDescent="0.2">
      <c r="A617" s="627"/>
      <c r="B617" s="627"/>
      <c r="C617" s="627"/>
      <c r="D617" s="627"/>
      <c r="E617" s="627"/>
      <c r="F617" s="630"/>
      <c r="G617" s="630"/>
      <c r="H617" s="630"/>
      <c r="I617" s="631"/>
      <c r="J617" s="632"/>
      <c r="K617" s="633"/>
      <c r="L617" s="633"/>
      <c r="M617" s="633"/>
      <c r="N617" s="632"/>
      <c r="O617" s="632"/>
      <c r="P617" s="632"/>
      <c r="Q617" s="632"/>
      <c r="R617" s="632"/>
      <c r="S617" s="628"/>
      <c r="T617" s="628"/>
      <c r="U617" s="628"/>
      <c r="V617" s="628"/>
      <c r="W617" s="673"/>
      <c r="X617" s="673"/>
      <c r="Y617" s="673"/>
      <c r="Z617" s="673"/>
    </row>
    <row r="618" spans="1:26" ht="62.25" customHeight="1" x14ac:dyDescent="0.2">
      <c r="A618" s="627"/>
      <c r="B618" s="627"/>
      <c r="C618" s="627"/>
      <c r="D618" s="627"/>
      <c r="E618" s="627"/>
      <c r="F618" s="630"/>
      <c r="G618" s="630"/>
      <c r="H618" s="630"/>
      <c r="I618" s="631"/>
      <c r="J618" s="632"/>
      <c r="K618" s="633"/>
      <c r="L618" s="633"/>
      <c r="M618" s="633"/>
      <c r="N618" s="632"/>
      <c r="O618" s="632"/>
      <c r="P618" s="632"/>
      <c r="Q618" s="632"/>
      <c r="R618" s="632"/>
      <c r="S618" s="628"/>
      <c r="T618" s="628"/>
      <c r="U618" s="628"/>
      <c r="V618" s="628"/>
      <c r="W618" s="673"/>
      <c r="X618" s="673"/>
      <c r="Y618" s="673"/>
      <c r="Z618" s="673"/>
    </row>
    <row r="619" spans="1:26" ht="62.25" customHeight="1" x14ac:dyDescent="0.2">
      <c r="A619" s="627"/>
      <c r="B619" s="627"/>
      <c r="C619" s="627"/>
      <c r="D619" s="627"/>
      <c r="E619" s="627"/>
      <c r="F619" s="630"/>
      <c r="G619" s="630"/>
      <c r="H619" s="630"/>
      <c r="I619" s="631"/>
      <c r="J619" s="632"/>
      <c r="K619" s="633"/>
      <c r="L619" s="633"/>
      <c r="M619" s="633"/>
      <c r="N619" s="632"/>
      <c r="O619" s="632"/>
      <c r="P619" s="632"/>
      <c r="Q619" s="632"/>
      <c r="R619" s="632"/>
      <c r="S619" s="628"/>
      <c r="T619" s="628"/>
      <c r="U619" s="628"/>
      <c r="V619" s="628"/>
      <c r="W619" s="673"/>
      <c r="X619" s="673"/>
      <c r="Y619" s="673"/>
      <c r="Z619" s="673"/>
    </row>
    <row r="620" spans="1:26" ht="62.25" customHeight="1" x14ac:dyDescent="0.2">
      <c r="A620" s="627"/>
      <c r="B620" s="627"/>
      <c r="C620" s="627"/>
      <c r="D620" s="627"/>
      <c r="E620" s="627"/>
      <c r="F620" s="630"/>
      <c r="G620" s="630"/>
      <c r="H620" s="630"/>
      <c r="I620" s="631"/>
      <c r="J620" s="632"/>
      <c r="K620" s="633"/>
      <c r="L620" s="633"/>
      <c r="M620" s="633"/>
      <c r="N620" s="632"/>
      <c r="O620" s="632"/>
      <c r="P620" s="632"/>
      <c r="Q620" s="632"/>
      <c r="R620" s="632"/>
      <c r="S620" s="628"/>
      <c r="T620" s="628"/>
      <c r="U620" s="628"/>
      <c r="V620" s="628"/>
      <c r="W620" s="673"/>
      <c r="X620" s="673"/>
      <c r="Y620" s="673"/>
      <c r="Z620" s="673"/>
    </row>
    <row r="621" spans="1:26" ht="62.25" customHeight="1" x14ac:dyDescent="0.2">
      <c r="A621" s="627"/>
      <c r="B621" s="627"/>
      <c r="C621" s="627"/>
      <c r="D621" s="627"/>
      <c r="E621" s="627"/>
      <c r="F621" s="630"/>
      <c r="G621" s="630"/>
      <c r="H621" s="630"/>
      <c r="I621" s="631"/>
      <c r="J621" s="632"/>
      <c r="K621" s="633"/>
      <c r="L621" s="633"/>
      <c r="M621" s="633"/>
      <c r="N621" s="632"/>
      <c r="O621" s="632"/>
      <c r="P621" s="632"/>
      <c r="Q621" s="632"/>
      <c r="R621" s="632"/>
      <c r="S621" s="628"/>
      <c r="T621" s="628"/>
      <c r="U621" s="628"/>
      <c r="V621" s="628"/>
      <c r="W621" s="673"/>
      <c r="X621" s="673"/>
      <c r="Y621" s="673"/>
      <c r="Z621" s="673"/>
    </row>
    <row r="622" spans="1:26" ht="62.25" customHeight="1" x14ac:dyDescent="0.2">
      <c r="A622" s="627"/>
      <c r="B622" s="627"/>
      <c r="C622" s="627"/>
      <c r="D622" s="627"/>
      <c r="E622" s="627"/>
      <c r="F622" s="630"/>
      <c r="G622" s="630"/>
      <c r="H622" s="630"/>
      <c r="I622" s="631"/>
      <c r="J622" s="632"/>
      <c r="K622" s="633"/>
      <c r="L622" s="633"/>
      <c r="M622" s="633"/>
      <c r="N622" s="632"/>
      <c r="O622" s="632"/>
      <c r="P622" s="632"/>
      <c r="Q622" s="632"/>
      <c r="R622" s="632"/>
      <c r="S622" s="628"/>
      <c r="T622" s="628"/>
      <c r="U622" s="628"/>
      <c r="V622" s="628"/>
      <c r="W622" s="673"/>
      <c r="X622" s="673"/>
      <c r="Y622" s="673"/>
      <c r="Z622" s="673"/>
    </row>
    <row r="623" spans="1:26" ht="62.25" customHeight="1" x14ac:dyDescent="0.2">
      <c r="A623" s="627"/>
      <c r="B623" s="627"/>
      <c r="C623" s="627"/>
      <c r="D623" s="627"/>
      <c r="E623" s="627"/>
      <c r="F623" s="630"/>
      <c r="G623" s="630"/>
      <c r="H623" s="630"/>
      <c r="I623" s="631"/>
      <c r="J623" s="632"/>
      <c r="K623" s="633"/>
      <c r="L623" s="633"/>
      <c r="M623" s="633"/>
      <c r="N623" s="632"/>
      <c r="O623" s="632"/>
      <c r="P623" s="632"/>
      <c r="Q623" s="632"/>
      <c r="R623" s="632"/>
      <c r="S623" s="628"/>
      <c r="T623" s="628"/>
      <c r="U623" s="628"/>
      <c r="V623" s="628"/>
      <c r="W623" s="673"/>
      <c r="X623" s="673"/>
      <c r="Y623" s="673"/>
      <c r="Z623" s="673"/>
    </row>
    <row r="624" spans="1:26" ht="62.25" customHeight="1" x14ac:dyDescent="0.2">
      <c r="A624" s="627"/>
      <c r="B624" s="627"/>
      <c r="C624" s="627"/>
      <c r="D624" s="627"/>
      <c r="E624" s="627"/>
      <c r="F624" s="630"/>
      <c r="G624" s="630"/>
      <c r="H624" s="630"/>
      <c r="I624" s="631"/>
      <c r="J624" s="632"/>
      <c r="K624" s="633"/>
      <c r="L624" s="633"/>
      <c r="M624" s="633"/>
      <c r="N624" s="632"/>
      <c r="O624" s="632"/>
      <c r="P624" s="632"/>
      <c r="Q624" s="632"/>
      <c r="R624" s="632"/>
      <c r="S624" s="628"/>
      <c r="T624" s="628"/>
      <c r="U624" s="628"/>
      <c r="V624" s="628"/>
      <c r="W624" s="673"/>
      <c r="X624" s="673"/>
      <c r="Y624" s="673"/>
      <c r="Z624" s="673"/>
    </row>
    <row r="625" spans="1:26" ht="62.25" customHeight="1" x14ac:dyDescent="0.2">
      <c r="A625" s="627"/>
      <c r="B625" s="627"/>
      <c r="C625" s="627"/>
      <c r="D625" s="627"/>
      <c r="E625" s="627"/>
      <c r="F625" s="630"/>
      <c r="G625" s="630"/>
      <c r="H625" s="630"/>
      <c r="I625" s="631"/>
      <c r="J625" s="632"/>
      <c r="K625" s="633"/>
      <c r="L625" s="633"/>
      <c r="M625" s="633"/>
      <c r="N625" s="632"/>
      <c r="O625" s="632"/>
      <c r="P625" s="632"/>
      <c r="Q625" s="632"/>
      <c r="R625" s="632"/>
      <c r="S625" s="628"/>
      <c r="T625" s="628"/>
      <c r="U625" s="628"/>
      <c r="V625" s="628"/>
      <c r="W625" s="673"/>
      <c r="X625" s="673"/>
      <c r="Y625" s="673"/>
      <c r="Z625" s="673"/>
    </row>
    <row r="626" spans="1:26" ht="62.25" customHeight="1" x14ac:dyDescent="0.2">
      <c r="A626" s="627"/>
      <c r="B626" s="627"/>
      <c r="C626" s="627"/>
      <c r="D626" s="627"/>
      <c r="E626" s="627"/>
      <c r="F626" s="630"/>
      <c r="G626" s="630"/>
      <c r="H626" s="630"/>
      <c r="I626" s="631"/>
      <c r="J626" s="632"/>
      <c r="K626" s="633"/>
      <c r="L626" s="633"/>
      <c r="M626" s="633"/>
      <c r="N626" s="632"/>
      <c r="O626" s="632"/>
      <c r="P626" s="632"/>
      <c r="Q626" s="632"/>
      <c r="R626" s="632"/>
      <c r="S626" s="628"/>
      <c r="T626" s="628"/>
      <c r="U626" s="628"/>
      <c r="V626" s="628"/>
      <c r="W626" s="673"/>
      <c r="X626" s="673"/>
      <c r="Y626" s="673"/>
      <c r="Z626" s="673"/>
    </row>
    <row r="627" spans="1:26" ht="62.25" customHeight="1" x14ac:dyDescent="0.2">
      <c r="A627" s="627"/>
      <c r="B627" s="627"/>
      <c r="C627" s="627"/>
      <c r="D627" s="627"/>
      <c r="E627" s="627"/>
      <c r="F627" s="630"/>
      <c r="G627" s="630"/>
      <c r="H627" s="630"/>
      <c r="I627" s="631"/>
      <c r="J627" s="632"/>
      <c r="K627" s="633"/>
      <c r="L627" s="633"/>
      <c r="M627" s="633"/>
      <c r="N627" s="632"/>
      <c r="O627" s="632"/>
      <c r="P627" s="632"/>
      <c r="Q627" s="632"/>
      <c r="R627" s="632"/>
      <c r="S627" s="628"/>
      <c r="T627" s="628"/>
      <c r="U627" s="628"/>
      <c r="V627" s="628"/>
      <c r="W627" s="673"/>
      <c r="X627" s="673"/>
      <c r="Y627" s="673"/>
      <c r="Z627" s="673"/>
    </row>
    <row r="628" spans="1:26" ht="62.25" customHeight="1" x14ac:dyDescent="0.2">
      <c r="A628" s="627"/>
      <c r="B628" s="627"/>
      <c r="C628" s="627"/>
      <c r="D628" s="627"/>
      <c r="E628" s="627"/>
      <c r="F628" s="630"/>
      <c r="G628" s="630"/>
      <c r="H628" s="630"/>
      <c r="I628" s="631"/>
      <c r="J628" s="632"/>
      <c r="K628" s="633"/>
      <c r="L628" s="633"/>
      <c r="M628" s="633"/>
      <c r="N628" s="632"/>
      <c r="O628" s="632"/>
      <c r="P628" s="632"/>
      <c r="Q628" s="632"/>
      <c r="R628" s="632"/>
      <c r="S628" s="628"/>
      <c r="T628" s="628"/>
      <c r="U628" s="628"/>
      <c r="V628" s="628"/>
      <c r="W628" s="673"/>
      <c r="X628" s="673"/>
      <c r="Y628" s="673"/>
      <c r="Z628" s="673"/>
    </row>
    <row r="629" spans="1:26" ht="62.25" customHeight="1" x14ac:dyDescent="0.2">
      <c r="A629" s="627"/>
      <c r="B629" s="627"/>
      <c r="C629" s="627"/>
      <c r="D629" s="627"/>
      <c r="E629" s="627"/>
      <c r="F629" s="630"/>
      <c r="G629" s="630"/>
      <c r="H629" s="630"/>
      <c r="I629" s="631"/>
      <c r="J629" s="632"/>
      <c r="K629" s="633"/>
      <c r="L629" s="633"/>
      <c r="M629" s="633"/>
      <c r="N629" s="632"/>
      <c r="O629" s="632"/>
      <c r="P629" s="632"/>
      <c r="Q629" s="632"/>
      <c r="R629" s="632"/>
      <c r="S629" s="628"/>
      <c r="T629" s="628"/>
      <c r="U629" s="628"/>
      <c r="V629" s="628"/>
      <c r="W629" s="673"/>
      <c r="X629" s="673"/>
      <c r="Y629" s="673"/>
      <c r="Z629" s="673"/>
    </row>
    <row r="630" spans="1:26" ht="62.25" customHeight="1" x14ac:dyDescent="0.2">
      <c r="A630" s="627"/>
      <c r="B630" s="627"/>
      <c r="C630" s="627"/>
      <c r="D630" s="627"/>
      <c r="E630" s="627"/>
      <c r="F630" s="630"/>
      <c r="G630" s="630"/>
      <c r="H630" s="630"/>
      <c r="I630" s="631"/>
      <c r="J630" s="632"/>
      <c r="K630" s="633"/>
      <c r="L630" s="633"/>
      <c r="M630" s="633"/>
      <c r="N630" s="632"/>
      <c r="O630" s="632"/>
      <c r="P630" s="632"/>
      <c r="Q630" s="632"/>
      <c r="R630" s="632"/>
      <c r="S630" s="628"/>
      <c r="T630" s="628"/>
      <c r="U630" s="628"/>
      <c r="V630" s="628"/>
      <c r="W630" s="673"/>
      <c r="X630" s="673"/>
      <c r="Y630" s="673"/>
      <c r="Z630" s="673"/>
    </row>
    <row r="631" spans="1:26" ht="62.25" customHeight="1" x14ac:dyDescent="0.2">
      <c r="A631" s="627"/>
      <c r="B631" s="627"/>
      <c r="C631" s="627"/>
      <c r="D631" s="627"/>
      <c r="E631" s="627"/>
      <c r="F631" s="630"/>
      <c r="G631" s="630"/>
      <c r="H631" s="630"/>
      <c r="I631" s="631"/>
      <c r="J631" s="632"/>
      <c r="K631" s="633"/>
      <c r="L631" s="633"/>
      <c r="M631" s="633"/>
      <c r="N631" s="632"/>
      <c r="O631" s="632"/>
      <c r="P631" s="632"/>
      <c r="Q631" s="632"/>
      <c r="R631" s="632"/>
      <c r="S631" s="628"/>
      <c r="T631" s="628"/>
      <c r="U631" s="628"/>
      <c r="V631" s="628"/>
      <c r="W631" s="673"/>
      <c r="X631" s="673"/>
      <c r="Y631" s="673"/>
      <c r="Z631" s="673"/>
    </row>
    <row r="632" spans="1:26" ht="62.25" customHeight="1" x14ac:dyDescent="0.2">
      <c r="A632" s="627"/>
      <c r="B632" s="627"/>
      <c r="C632" s="627"/>
      <c r="D632" s="627"/>
      <c r="E632" s="627"/>
      <c r="F632" s="630"/>
      <c r="G632" s="630"/>
      <c r="H632" s="630"/>
      <c r="I632" s="631"/>
      <c r="J632" s="632"/>
      <c r="K632" s="633"/>
      <c r="L632" s="633"/>
      <c r="M632" s="633"/>
      <c r="N632" s="632"/>
      <c r="O632" s="632"/>
      <c r="P632" s="632"/>
      <c r="Q632" s="632"/>
      <c r="R632" s="632"/>
      <c r="S632" s="628"/>
      <c r="T632" s="628"/>
      <c r="U632" s="628"/>
      <c r="V632" s="628"/>
      <c r="W632" s="673"/>
      <c r="X632" s="673"/>
      <c r="Y632" s="673"/>
      <c r="Z632" s="673"/>
    </row>
    <row r="633" spans="1:26" ht="62.25" customHeight="1" x14ac:dyDescent="0.2">
      <c r="A633" s="627"/>
      <c r="B633" s="627"/>
      <c r="C633" s="627"/>
      <c r="D633" s="627"/>
      <c r="E633" s="627"/>
      <c r="F633" s="630"/>
      <c r="G633" s="630"/>
      <c r="H633" s="630"/>
      <c r="I633" s="631"/>
      <c r="J633" s="632"/>
      <c r="K633" s="633"/>
      <c r="L633" s="633"/>
      <c r="M633" s="633"/>
      <c r="N633" s="632"/>
      <c r="O633" s="632"/>
      <c r="P633" s="632"/>
      <c r="Q633" s="632"/>
      <c r="R633" s="632"/>
      <c r="S633" s="628"/>
      <c r="T633" s="628"/>
      <c r="U633" s="628"/>
      <c r="V633" s="628"/>
      <c r="W633" s="673"/>
      <c r="X633" s="673"/>
      <c r="Y633" s="673"/>
      <c r="Z633" s="673"/>
    </row>
    <row r="634" spans="1:26" ht="62.25" customHeight="1" x14ac:dyDescent="0.2">
      <c r="A634" s="627"/>
      <c r="B634" s="627"/>
      <c r="C634" s="627"/>
      <c r="D634" s="627"/>
      <c r="E634" s="627"/>
      <c r="F634" s="630"/>
      <c r="G634" s="630"/>
      <c r="H634" s="630"/>
      <c r="I634" s="631"/>
      <c r="J634" s="632"/>
      <c r="K634" s="633"/>
      <c r="L634" s="633"/>
      <c r="M634" s="633"/>
      <c r="N634" s="632"/>
      <c r="O634" s="632"/>
      <c r="P634" s="632"/>
      <c r="Q634" s="632"/>
      <c r="R634" s="632"/>
      <c r="S634" s="628"/>
      <c r="T634" s="628"/>
      <c r="U634" s="628"/>
      <c r="V634" s="628"/>
      <c r="W634" s="673"/>
      <c r="X634" s="673"/>
      <c r="Y634" s="673"/>
      <c r="Z634" s="673"/>
    </row>
    <row r="635" spans="1:26" ht="62.25" customHeight="1" x14ac:dyDescent="0.2">
      <c r="A635" s="627"/>
      <c r="B635" s="627"/>
      <c r="C635" s="627"/>
      <c r="D635" s="627"/>
      <c r="E635" s="627"/>
      <c r="F635" s="630"/>
      <c r="G635" s="630"/>
      <c r="H635" s="630"/>
      <c r="I635" s="631"/>
      <c r="J635" s="632"/>
      <c r="K635" s="633"/>
      <c r="L635" s="633"/>
      <c r="M635" s="633"/>
      <c r="N635" s="632"/>
      <c r="O635" s="632"/>
      <c r="P635" s="632"/>
      <c r="Q635" s="632"/>
      <c r="R635" s="632"/>
      <c r="S635" s="628"/>
      <c r="T635" s="628"/>
      <c r="U635" s="628"/>
      <c r="V635" s="628"/>
      <c r="W635" s="673"/>
      <c r="X635" s="673"/>
      <c r="Y635" s="673"/>
      <c r="Z635" s="673"/>
    </row>
    <row r="636" spans="1:26" ht="62.25" customHeight="1" x14ac:dyDescent="0.2">
      <c r="A636" s="627"/>
      <c r="B636" s="627"/>
      <c r="C636" s="627"/>
      <c r="D636" s="627"/>
      <c r="E636" s="627"/>
      <c r="F636" s="630"/>
      <c r="G636" s="630"/>
      <c r="H636" s="630"/>
      <c r="I636" s="631"/>
      <c r="J636" s="632"/>
      <c r="K636" s="633"/>
      <c r="L636" s="633"/>
      <c r="M636" s="633"/>
      <c r="N636" s="632"/>
      <c r="O636" s="632"/>
      <c r="P636" s="632"/>
      <c r="Q636" s="632"/>
      <c r="R636" s="632"/>
      <c r="S636" s="628"/>
      <c r="T636" s="628"/>
      <c r="U636" s="628"/>
      <c r="V636" s="628"/>
      <c r="W636" s="673"/>
      <c r="X636" s="673"/>
      <c r="Y636" s="673"/>
      <c r="Z636" s="673"/>
    </row>
    <row r="637" spans="1:26" ht="62.25" customHeight="1" x14ac:dyDescent="0.2">
      <c r="A637" s="627"/>
      <c r="B637" s="627"/>
      <c r="C637" s="627"/>
      <c r="D637" s="627"/>
      <c r="E637" s="627"/>
      <c r="F637" s="630"/>
      <c r="G637" s="630"/>
      <c r="H637" s="630"/>
      <c r="I637" s="631"/>
      <c r="J637" s="632"/>
      <c r="K637" s="633"/>
      <c r="L637" s="633"/>
      <c r="M637" s="633"/>
      <c r="N637" s="632"/>
      <c r="O637" s="632"/>
      <c r="P637" s="632"/>
      <c r="Q637" s="632"/>
      <c r="R637" s="632"/>
      <c r="S637" s="628"/>
      <c r="T637" s="628"/>
      <c r="U637" s="628"/>
      <c r="V637" s="628"/>
      <c r="W637" s="673"/>
      <c r="X637" s="673"/>
      <c r="Y637" s="673"/>
      <c r="Z637" s="673"/>
    </row>
    <row r="638" spans="1:26" ht="62.25" customHeight="1" x14ac:dyDescent="0.2">
      <c r="A638" s="627"/>
      <c r="B638" s="627"/>
      <c r="C638" s="627"/>
      <c r="D638" s="627"/>
      <c r="E638" s="627"/>
      <c r="F638" s="630"/>
      <c r="G638" s="630"/>
      <c r="H638" s="630"/>
      <c r="I638" s="631"/>
      <c r="J638" s="632"/>
      <c r="K638" s="633"/>
      <c r="L638" s="633"/>
      <c r="M638" s="633"/>
      <c r="N638" s="632"/>
      <c r="O638" s="632"/>
      <c r="P638" s="632"/>
      <c r="Q638" s="632"/>
      <c r="R638" s="632"/>
      <c r="S638" s="628"/>
      <c r="T638" s="628"/>
      <c r="U638" s="628"/>
      <c r="V638" s="628"/>
      <c r="W638" s="673"/>
      <c r="X638" s="673"/>
      <c r="Y638" s="673"/>
      <c r="Z638" s="673"/>
    </row>
    <row r="639" spans="1:26" ht="62.25" customHeight="1" x14ac:dyDescent="0.2">
      <c r="A639" s="627"/>
      <c r="B639" s="627"/>
      <c r="C639" s="627"/>
      <c r="D639" s="627"/>
      <c r="E639" s="627"/>
      <c r="F639" s="630"/>
      <c r="G639" s="630"/>
      <c r="H639" s="630"/>
      <c r="I639" s="631"/>
      <c r="J639" s="632"/>
      <c r="K639" s="633"/>
      <c r="L639" s="633"/>
      <c r="M639" s="633"/>
      <c r="N639" s="632"/>
      <c r="O639" s="632"/>
      <c r="P639" s="632"/>
      <c r="Q639" s="632"/>
      <c r="R639" s="632"/>
      <c r="S639" s="628"/>
      <c r="T639" s="628"/>
      <c r="U639" s="628"/>
      <c r="V639" s="628"/>
      <c r="W639" s="673"/>
      <c r="X639" s="673"/>
      <c r="Y639" s="673"/>
      <c r="Z639" s="673"/>
    </row>
    <row r="640" spans="1:26" ht="62.25" customHeight="1" x14ac:dyDescent="0.2">
      <c r="A640" s="627"/>
      <c r="B640" s="627"/>
      <c r="C640" s="627"/>
      <c r="D640" s="627"/>
      <c r="E640" s="627"/>
      <c r="F640" s="630"/>
      <c r="G640" s="630"/>
      <c r="H640" s="630"/>
      <c r="I640" s="631"/>
      <c r="J640" s="632"/>
      <c r="K640" s="633"/>
      <c r="L640" s="633"/>
      <c r="M640" s="633"/>
      <c r="N640" s="632"/>
      <c r="O640" s="632"/>
      <c r="P640" s="632"/>
      <c r="Q640" s="632"/>
      <c r="R640" s="632"/>
      <c r="S640" s="628"/>
      <c r="T640" s="628"/>
      <c r="U640" s="628"/>
      <c r="V640" s="628"/>
      <c r="W640" s="673"/>
      <c r="X640" s="673"/>
      <c r="Y640" s="673"/>
      <c r="Z640" s="673"/>
    </row>
    <row r="641" spans="1:26" ht="62.25" customHeight="1" x14ac:dyDescent="0.2">
      <c r="A641" s="627"/>
      <c r="B641" s="627"/>
      <c r="C641" s="627"/>
      <c r="D641" s="627"/>
      <c r="E641" s="627"/>
      <c r="F641" s="630"/>
      <c r="G641" s="630"/>
      <c r="H641" s="630"/>
      <c r="I641" s="631"/>
      <c r="J641" s="632"/>
      <c r="K641" s="633"/>
      <c r="L641" s="633"/>
      <c r="M641" s="633"/>
      <c r="N641" s="632"/>
      <c r="O641" s="632"/>
      <c r="P641" s="632"/>
      <c r="Q641" s="632"/>
      <c r="R641" s="632"/>
      <c r="S641" s="628"/>
      <c r="T641" s="628"/>
      <c r="U641" s="628"/>
      <c r="V641" s="628"/>
      <c r="W641" s="673"/>
      <c r="X641" s="673"/>
      <c r="Y641" s="673"/>
      <c r="Z641" s="673"/>
    </row>
    <row r="642" spans="1:26" ht="62.25" customHeight="1" x14ac:dyDescent="0.2">
      <c r="A642" s="627"/>
      <c r="B642" s="627"/>
      <c r="C642" s="627"/>
      <c r="D642" s="627"/>
      <c r="E642" s="627"/>
      <c r="F642" s="630"/>
      <c r="G642" s="630"/>
      <c r="H642" s="630"/>
      <c r="I642" s="631"/>
      <c r="J642" s="632"/>
      <c r="K642" s="633"/>
      <c r="L642" s="633"/>
      <c r="M642" s="633"/>
      <c r="N642" s="632"/>
      <c r="O642" s="632"/>
      <c r="P642" s="632"/>
      <c r="Q642" s="632"/>
      <c r="R642" s="632"/>
      <c r="S642" s="628"/>
      <c r="T642" s="628"/>
      <c r="U642" s="628"/>
      <c r="V642" s="628"/>
      <c r="W642" s="673"/>
      <c r="X642" s="673"/>
      <c r="Y642" s="673"/>
      <c r="Z642" s="673"/>
    </row>
    <row r="643" spans="1:26" ht="62.25" customHeight="1" x14ac:dyDescent="0.2">
      <c r="A643" s="627"/>
      <c r="B643" s="627"/>
      <c r="C643" s="627"/>
      <c r="D643" s="627"/>
      <c r="E643" s="627"/>
      <c r="F643" s="630"/>
      <c r="G643" s="630"/>
      <c r="H643" s="630"/>
      <c r="I643" s="631"/>
      <c r="J643" s="632"/>
      <c r="K643" s="633"/>
      <c r="L643" s="633"/>
      <c r="M643" s="633"/>
      <c r="N643" s="632"/>
      <c r="O643" s="632"/>
      <c r="P643" s="632"/>
      <c r="Q643" s="632"/>
      <c r="R643" s="632"/>
      <c r="S643" s="628"/>
      <c r="T643" s="628"/>
      <c r="U643" s="628"/>
      <c r="V643" s="628"/>
      <c r="W643" s="673"/>
      <c r="X643" s="673"/>
      <c r="Y643" s="673"/>
      <c r="Z643" s="673"/>
    </row>
    <row r="644" spans="1:26" ht="62.25" customHeight="1" x14ac:dyDescent="0.2">
      <c r="A644" s="627"/>
      <c r="B644" s="627"/>
      <c r="C644" s="627"/>
      <c r="D644" s="627"/>
      <c r="E644" s="627"/>
      <c r="F644" s="630"/>
      <c r="G644" s="630"/>
      <c r="H644" s="630"/>
      <c r="I644" s="631"/>
      <c r="J644" s="632"/>
      <c r="K644" s="633"/>
      <c r="L644" s="633"/>
      <c r="M644" s="633"/>
      <c r="N644" s="632"/>
      <c r="O644" s="632"/>
      <c r="P644" s="632"/>
      <c r="Q644" s="632"/>
      <c r="R644" s="632"/>
      <c r="S644" s="628"/>
      <c r="T644" s="628"/>
      <c r="U644" s="628"/>
      <c r="V644" s="628"/>
      <c r="W644" s="673"/>
      <c r="X644" s="673"/>
      <c r="Y644" s="673"/>
      <c r="Z644" s="673"/>
    </row>
    <row r="645" spans="1:26" ht="62.25" customHeight="1" x14ac:dyDescent="0.2">
      <c r="A645" s="627"/>
      <c r="B645" s="627"/>
      <c r="C645" s="627"/>
      <c r="D645" s="627"/>
      <c r="E645" s="627"/>
      <c r="F645" s="630"/>
      <c r="G645" s="630"/>
      <c r="H645" s="630"/>
      <c r="I645" s="631"/>
      <c r="J645" s="632"/>
      <c r="K645" s="633"/>
      <c r="L645" s="633"/>
      <c r="M645" s="633"/>
      <c r="N645" s="632"/>
      <c r="O645" s="632"/>
      <c r="P645" s="632"/>
      <c r="Q645" s="632"/>
      <c r="R645" s="632"/>
      <c r="S645" s="628"/>
      <c r="T645" s="628"/>
      <c r="U645" s="628"/>
      <c r="V645" s="628"/>
      <c r="W645" s="673"/>
      <c r="X645" s="673"/>
      <c r="Y645" s="673"/>
      <c r="Z645" s="673"/>
    </row>
    <row r="646" spans="1:26" ht="62.25" customHeight="1" x14ac:dyDescent="0.2">
      <c r="A646" s="627"/>
      <c r="B646" s="627"/>
      <c r="C646" s="627"/>
      <c r="D646" s="627"/>
      <c r="E646" s="627"/>
      <c r="F646" s="630"/>
      <c r="G646" s="630"/>
      <c r="H646" s="630"/>
      <c r="I646" s="631"/>
      <c r="J646" s="632"/>
      <c r="K646" s="633"/>
      <c r="L646" s="633"/>
      <c r="M646" s="633"/>
      <c r="N646" s="632"/>
      <c r="O646" s="632"/>
      <c r="P646" s="632"/>
      <c r="Q646" s="632"/>
      <c r="R646" s="632"/>
      <c r="S646" s="628"/>
      <c r="T646" s="628"/>
      <c r="U646" s="628"/>
      <c r="V646" s="628"/>
      <c r="W646" s="673"/>
      <c r="X646" s="673"/>
      <c r="Y646" s="673"/>
      <c r="Z646" s="673"/>
    </row>
    <row r="647" spans="1:26" ht="62.25" customHeight="1" x14ac:dyDescent="0.2">
      <c r="A647" s="627"/>
      <c r="B647" s="627"/>
      <c r="C647" s="627"/>
      <c r="D647" s="627"/>
      <c r="E647" s="627"/>
      <c r="F647" s="630"/>
      <c r="G647" s="630"/>
      <c r="H647" s="630"/>
      <c r="I647" s="631"/>
      <c r="J647" s="632"/>
      <c r="K647" s="633"/>
      <c r="L647" s="633"/>
      <c r="M647" s="633"/>
      <c r="N647" s="632"/>
      <c r="O647" s="632"/>
      <c r="P647" s="632"/>
      <c r="Q647" s="632"/>
      <c r="R647" s="632"/>
      <c r="S647" s="628"/>
      <c r="T647" s="628"/>
      <c r="U647" s="628"/>
      <c r="V647" s="628"/>
      <c r="W647" s="673"/>
      <c r="X647" s="673"/>
      <c r="Y647" s="673"/>
      <c r="Z647" s="673"/>
    </row>
    <row r="648" spans="1:26" ht="62.25" customHeight="1" x14ac:dyDescent="0.2">
      <c r="A648" s="627"/>
      <c r="B648" s="627"/>
      <c r="C648" s="627"/>
      <c r="D648" s="627"/>
      <c r="E648" s="627"/>
      <c r="F648" s="630"/>
      <c r="G648" s="630"/>
      <c r="H648" s="630"/>
      <c r="I648" s="631"/>
      <c r="J648" s="632"/>
      <c r="K648" s="633"/>
      <c r="L648" s="633"/>
      <c r="M648" s="633"/>
      <c r="N648" s="632"/>
      <c r="O648" s="632"/>
      <c r="P648" s="632"/>
      <c r="Q648" s="632"/>
      <c r="R648" s="632"/>
      <c r="S648" s="628"/>
      <c r="T648" s="628"/>
      <c r="U648" s="628"/>
      <c r="V648" s="628"/>
      <c r="W648" s="673"/>
      <c r="X648" s="673"/>
      <c r="Y648" s="673"/>
      <c r="Z648" s="673"/>
    </row>
    <row r="649" spans="1:26" ht="62.25" customHeight="1" x14ac:dyDescent="0.2">
      <c r="A649" s="627"/>
      <c r="B649" s="627"/>
      <c r="C649" s="627"/>
      <c r="D649" s="627"/>
      <c r="E649" s="627"/>
      <c r="F649" s="630"/>
      <c r="G649" s="630"/>
      <c r="H649" s="630"/>
      <c r="I649" s="631"/>
      <c r="J649" s="632"/>
      <c r="K649" s="633"/>
      <c r="L649" s="633"/>
      <c r="M649" s="633"/>
      <c r="N649" s="632"/>
      <c r="O649" s="632"/>
      <c r="P649" s="632"/>
      <c r="Q649" s="632"/>
      <c r="R649" s="632"/>
      <c r="S649" s="628"/>
      <c r="T649" s="628"/>
      <c r="U649" s="628"/>
      <c r="V649" s="628"/>
      <c r="W649" s="673"/>
      <c r="X649" s="673"/>
      <c r="Y649" s="673"/>
      <c r="Z649" s="673"/>
    </row>
    <row r="650" spans="1:26" ht="62.25" customHeight="1" x14ac:dyDescent="0.2">
      <c r="A650" s="627"/>
      <c r="B650" s="627"/>
      <c r="C650" s="627"/>
      <c r="D650" s="627"/>
      <c r="E650" s="627"/>
      <c r="F650" s="630"/>
      <c r="G650" s="630"/>
      <c r="H650" s="630"/>
      <c r="I650" s="631"/>
      <c r="J650" s="632"/>
      <c r="K650" s="633"/>
      <c r="L650" s="633"/>
      <c r="M650" s="633"/>
      <c r="N650" s="632"/>
      <c r="O650" s="632"/>
      <c r="P650" s="632"/>
      <c r="Q650" s="632"/>
      <c r="R650" s="632"/>
      <c r="S650" s="628"/>
      <c r="T650" s="628"/>
      <c r="U650" s="628"/>
      <c r="V650" s="628"/>
      <c r="W650" s="673"/>
      <c r="X650" s="673"/>
      <c r="Y650" s="673"/>
      <c r="Z650" s="673"/>
    </row>
    <row r="651" spans="1:26" ht="62.25" customHeight="1" x14ac:dyDescent="0.2">
      <c r="A651" s="627"/>
      <c r="B651" s="627"/>
      <c r="C651" s="627"/>
      <c r="D651" s="627"/>
      <c r="E651" s="627"/>
      <c r="F651" s="630"/>
      <c r="G651" s="630"/>
      <c r="H651" s="630"/>
      <c r="I651" s="631"/>
      <c r="J651" s="632"/>
      <c r="K651" s="633"/>
      <c r="L651" s="633"/>
      <c r="M651" s="633"/>
      <c r="N651" s="632"/>
      <c r="O651" s="632"/>
      <c r="P651" s="632"/>
      <c r="Q651" s="632"/>
      <c r="R651" s="632"/>
      <c r="S651" s="628"/>
      <c r="T651" s="628"/>
      <c r="U651" s="628"/>
      <c r="V651" s="628"/>
      <c r="W651" s="673"/>
      <c r="X651" s="673"/>
      <c r="Y651" s="673"/>
      <c r="Z651" s="673"/>
    </row>
    <row r="652" spans="1:26" ht="62.25" customHeight="1" x14ac:dyDescent="0.2">
      <c r="A652" s="627"/>
      <c r="B652" s="627"/>
      <c r="C652" s="627"/>
      <c r="D652" s="627"/>
      <c r="E652" s="627"/>
      <c r="F652" s="630"/>
      <c r="G652" s="630"/>
      <c r="H652" s="630"/>
      <c r="I652" s="631"/>
      <c r="J652" s="632"/>
      <c r="K652" s="633"/>
      <c r="L652" s="633"/>
      <c r="M652" s="633"/>
      <c r="N652" s="632"/>
      <c r="O652" s="632"/>
      <c r="P652" s="632"/>
      <c r="Q652" s="632"/>
      <c r="R652" s="632"/>
      <c r="S652" s="628"/>
      <c r="T652" s="628"/>
      <c r="U652" s="628"/>
      <c r="V652" s="628"/>
      <c r="W652" s="673"/>
      <c r="X652" s="673"/>
      <c r="Y652" s="673"/>
      <c r="Z652" s="673"/>
    </row>
    <row r="653" spans="1:26" ht="62.25" customHeight="1" x14ac:dyDescent="0.2">
      <c r="A653" s="627"/>
      <c r="B653" s="627"/>
      <c r="C653" s="627"/>
      <c r="D653" s="627"/>
      <c r="E653" s="627"/>
      <c r="F653" s="630"/>
      <c r="G653" s="630"/>
      <c r="H653" s="630"/>
      <c r="I653" s="631"/>
      <c r="J653" s="632"/>
      <c r="K653" s="633"/>
      <c r="L653" s="633"/>
      <c r="M653" s="633"/>
      <c r="N653" s="632"/>
      <c r="O653" s="632"/>
      <c r="P653" s="632"/>
      <c r="Q653" s="632"/>
      <c r="R653" s="632"/>
      <c r="S653" s="628"/>
      <c r="T653" s="628"/>
      <c r="U653" s="628"/>
      <c r="V653" s="628"/>
      <c r="W653" s="673"/>
      <c r="X653" s="673"/>
      <c r="Y653" s="673"/>
      <c r="Z653" s="673"/>
    </row>
    <row r="654" spans="1:26" ht="62.25" customHeight="1" x14ac:dyDescent="0.2">
      <c r="A654" s="627"/>
      <c r="B654" s="627"/>
      <c r="C654" s="627"/>
      <c r="D654" s="627"/>
      <c r="E654" s="627"/>
      <c r="F654" s="630"/>
      <c r="G654" s="630"/>
      <c r="H654" s="630"/>
      <c r="I654" s="631"/>
      <c r="J654" s="632"/>
      <c r="K654" s="633"/>
      <c r="L654" s="633"/>
      <c r="M654" s="633"/>
      <c r="N654" s="632"/>
      <c r="O654" s="632"/>
      <c r="P654" s="632"/>
      <c r="Q654" s="632"/>
      <c r="R654" s="632"/>
      <c r="S654" s="628"/>
      <c r="T654" s="628"/>
      <c r="U654" s="628"/>
      <c r="V654" s="628"/>
      <c r="W654" s="673"/>
      <c r="X654" s="673"/>
      <c r="Y654" s="673"/>
      <c r="Z654" s="673"/>
    </row>
    <row r="655" spans="1:26" ht="62.25" customHeight="1" x14ac:dyDescent="0.2">
      <c r="A655" s="627"/>
      <c r="B655" s="627"/>
      <c r="C655" s="627"/>
      <c r="D655" s="627"/>
      <c r="E655" s="627"/>
      <c r="F655" s="630"/>
      <c r="G655" s="630"/>
      <c r="H655" s="630"/>
      <c r="I655" s="631"/>
      <c r="J655" s="632"/>
      <c r="K655" s="633"/>
      <c r="L655" s="633"/>
      <c r="M655" s="633"/>
      <c r="N655" s="632"/>
      <c r="O655" s="632"/>
      <c r="P655" s="632"/>
      <c r="Q655" s="632"/>
      <c r="R655" s="632"/>
      <c r="S655" s="628"/>
      <c r="T655" s="628"/>
      <c r="U655" s="628"/>
      <c r="V655" s="628"/>
      <c r="W655" s="673"/>
      <c r="X655" s="673"/>
      <c r="Y655" s="673"/>
      <c r="Z655" s="673"/>
    </row>
    <row r="656" spans="1:26" ht="62.25" customHeight="1" x14ac:dyDescent="0.2">
      <c r="A656" s="627"/>
      <c r="B656" s="627"/>
      <c r="C656" s="627"/>
      <c r="D656" s="627"/>
      <c r="E656" s="627"/>
      <c r="F656" s="630"/>
      <c r="G656" s="630"/>
      <c r="H656" s="630"/>
      <c r="I656" s="631"/>
      <c r="J656" s="632"/>
      <c r="K656" s="633"/>
      <c r="L656" s="633"/>
      <c r="M656" s="633"/>
      <c r="N656" s="632"/>
      <c r="O656" s="632"/>
      <c r="P656" s="632"/>
      <c r="Q656" s="632"/>
      <c r="R656" s="632"/>
      <c r="S656" s="628"/>
      <c r="T656" s="628"/>
      <c r="U656" s="628"/>
      <c r="V656" s="628"/>
      <c r="W656" s="673"/>
      <c r="X656" s="673"/>
      <c r="Y656" s="673"/>
      <c r="Z656" s="673"/>
    </row>
    <row r="657" spans="1:26" ht="62.25" customHeight="1" x14ac:dyDescent="0.2">
      <c r="A657" s="627"/>
      <c r="B657" s="627"/>
      <c r="C657" s="627"/>
      <c r="D657" s="627"/>
      <c r="E657" s="627"/>
      <c r="F657" s="630"/>
      <c r="G657" s="630"/>
      <c r="H657" s="630"/>
      <c r="I657" s="631"/>
      <c r="J657" s="632"/>
      <c r="K657" s="633"/>
      <c r="L657" s="633"/>
      <c r="M657" s="633"/>
      <c r="N657" s="632"/>
      <c r="O657" s="632"/>
      <c r="P657" s="632"/>
      <c r="Q657" s="632"/>
      <c r="R657" s="632"/>
      <c r="S657" s="628"/>
      <c r="T657" s="628"/>
      <c r="U657" s="628"/>
      <c r="V657" s="628"/>
      <c r="W657" s="673"/>
      <c r="X657" s="673"/>
      <c r="Y657" s="673"/>
      <c r="Z657" s="673"/>
    </row>
    <row r="658" spans="1:26" ht="62.25" customHeight="1" x14ac:dyDescent="0.2">
      <c r="A658" s="627"/>
      <c r="B658" s="627"/>
      <c r="C658" s="627"/>
      <c r="D658" s="627"/>
      <c r="E658" s="627"/>
      <c r="F658" s="630"/>
      <c r="G658" s="630"/>
      <c r="H658" s="630"/>
      <c r="I658" s="631"/>
      <c r="J658" s="632"/>
      <c r="K658" s="633"/>
      <c r="L658" s="633"/>
      <c r="M658" s="633"/>
      <c r="N658" s="632"/>
      <c r="O658" s="632"/>
      <c r="P658" s="632"/>
      <c r="Q658" s="632"/>
      <c r="R658" s="632"/>
      <c r="S658" s="628"/>
      <c r="T658" s="628"/>
      <c r="U658" s="628"/>
      <c r="V658" s="628"/>
      <c r="W658" s="673"/>
      <c r="X658" s="673"/>
      <c r="Y658" s="673"/>
      <c r="Z658" s="673"/>
    </row>
    <row r="659" spans="1:26" ht="62.25" customHeight="1" x14ac:dyDescent="0.2">
      <c r="A659" s="627"/>
      <c r="B659" s="627"/>
      <c r="C659" s="627"/>
      <c r="D659" s="627"/>
      <c r="E659" s="627"/>
      <c r="F659" s="630"/>
      <c r="G659" s="630"/>
      <c r="H659" s="630"/>
      <c r="I659" s="631"/>
      <c r="J659" s="632"/>
      <c r="K659" s="633"/>
      <c r="L659" s="633"/>
      <c r="M659" s="633"/>
      <c r="N659" s="632"/>
      <c r="O659" s="632"/>
      <c r="P659" s="632"/>
      <c r="Q659" s="632"/>
      <c r="R659" s="632"/>
      <c r="S659" s="628"/>
      <c r="T659" s="628"/>
      <c r="U659" s="628"/>
      <c r="V659" s="628"/>
      <c r="W659" s="673"/>
      <c r="X659" s="673"/>
      <c r="Y659" s="673"/>
      <c r="Z659" s="673"/>
    </row>
    <row r="660" spans="1:26" ht="62.25" customHeight="1" x14ac:dyDescent="0.2">
      <c r="A660" s="627"/>
      <c r="B660" s="627"/>
      <c r="C660" s="627"/>
      <c r="D660" s="627"/>
      <c r="E660" s="627"/>
      <c r="F660" s="630"/>
      <c r="G660" s="630"/>
      <c r="H660" s="630"/>
      <c r="I660" s="631"/>
      <c r="J660" s="632"/>
      <c r="K660" s="633"/>
      <c r="L660" s="633"/>
      <c r="M660" s="633"/>
      <c r="N660" s="632"/>
      <c r="O660" s="632"/>
      <c r="P660" s="632"/>
      <c r="Q660" s="632"/>
      <c r="R660" s="632"/>
      <c r="S660" s="628"/>
      <c r="T660" s="628"/>
      <c r="U660" s="628"/>
      <c r="V660" s="628"/>
      <c r="W660" s="673"/>
      <c r="X660" s="673"/>
      <c r="Y660" s="673"/>
      <c r="Z660" s="673"/>
    </row>
    <row r="661" spans="1:26" ht="62.25" customHeight="1" x14ac:dyDescent="0.2">
      <c r="A661" s="627"/>
      <c r="B661" s="627"/>
      <c r="C661" s="627"/>
      <c r="D661" s="627"/>
      <c r="E661" s="627"/>
      <c r="F661" s="630"/>
      <c r="G661" s="630"/>
      <c r="H661" s="630"/>
      <c r="I661" s="631"/>
      <c r="J661" s="632"/>
      <c r="K661" s="633"/>
      <c r="L661" s="633"/>
      <c r="M661" s="633"/>
      <c r="N661" s="632"/>
      <c r="O661" s="632"/>
      <c r="P661" s="632"/>
      <c r="Q661" s="632"/>
      <c r="R661" s="632"/>
      <c r="S661" s="628"/>
      <c r="T661" s="628"/>
      <c r="U661" s="628"/>
      <c r="V661" s="628"/>
      <c r="W661" s="673"/>
      <c r="X661" s="673"/>
      <c r="Y661" s="673"/>
      <c r="Z661" s="673"/>
    </row>
    <row r="662" spans="1:26" ht="62.25" customHeight="1" x14ac:dyDescent="0.2">
      <c r="A662" s="627"/>
      <c r="B662" s="627"/>
      <c r="C662" s="627"/>
      <c r="D662" s="627"/>
      <c r="E662" s="627"/>
      <c r="F662" s="630"/>
      <c r="G662" s="630"/>
      <c r="H662" s="630"/>
      <c r="I662" s="631"/>
      <c r="J662" s="632"/>
      <c r="K662" s="633"/>
      <c r="L662" s="633"/>
      <c r="M662" s="633"/>
      <c r="N662" s="632"/>
      <c r="O662" s="632"/>
      <c r="P662" s="632"/>
      <c r="Q662" s="632"/>
      <c r="R662" s="632"/>
      <c r="S662" s="628"/>
      <c r="T662" s="628"/>
      <c r="U662" s="628"/>
      <c r="V662" s="628"/>
      <c r="W662" s="673"/>
      <c r="X662" s="673"/>
      <c r="Y662" s="673"/>
      <c r="Z662" s="673"/>
    </row>
    <row r="663" spans="1:26" ht="62.25" customHeight="1" x14ac:dyDescent="0.2">
      <c r="A663" s="627"/>
      <c r="B663" s="627"/>
      <c r="C663" s="627"/>
      <c r="D663" s="627"/>
      <c r="E663" s="627"/>
      <c r="F663" s="630"/>
      <c r="G663" s="630"/>
      <c r="H663" s="630"/>
      <c r="I663" s="631"/>
      <c r="J663" s="632"/>
      <c r="K663" s="633"/>
      <c r="L663" s="633"/>
      <c r="M663" s="633"/>
      <c r="N663" s="632"/>
      <c r="O663" s="632"/>
      <c r="P663" s="632"/>
      <c r="Q663" s="632"/>
      <c r="R663" s="632"/>
      <c r="S663" s="628"/>
      <c r="T663" s="628"/>
      <c r="U663" s="628"/>
      <c r="V663" s="628"/>
      <c r="W663" s="673"/>
      <c r="X663" s="673"/>
      <c r="Y663" s="673"/>
      <c r="Z663" s="673"/>
    </row>
    <row r="664" spans="1:26" ht="62.25" customHeight="1" x14ac:dyDescent="0.2">
      <c r="A664" s="627"/>
      <c r="B664" s="627"/>
      <c r="C664" s="627"/>
      <c r="D664" s="627"/>
      <c r="E664" s="627"/>
      <c r="F664" s="630"/>
      <c r="G664" s="630"/>
      <c r="H664" s="630"/>
      <c r="I664" s="631"/>
      <c r="J664" s="632"/>
      <c r="K664" s="633"/>
      <c r="L664" s="633"/>
      <c r="M664" s="633"/>
      <c r="N664" s="632"/>
      <c r="O664" s="632"/>
      <c r="P664" s="632"/>
      <c r="Q664" s="632"/>
      <c r="R664" s="632"/>
      <c r="S664" s="628"/>
      <c r="T664" s="628"/>
      <c r="U664" s="628"/>
      <c r="V664" s="628"/>
      <c r="W664" s="673"/>
      <c r="X664" s="673"/>
      <c r="Y664" s="673"/>
      <c r="Z664" s="673"/>
    </row>
    <row r="665" spans="1:26" ht="62.25" customHeight="1" x14ac:dyDescent="0.2">
      <c r="A665" s="627"/>
      <c r="B665" s="627"/>
      <c r="C665" s="627"/>
      <c r="D665" s="627"/>
      <c r="E665" s="627"/>
      <c r="F665" s="630"/>
      <c r="G665" s="630"/>
      <c r="H665" s="630"/>
      <c r="I665" s="631"/>
      <c r="J665" s="632"/>
      <c r="K665" s="633"/>
      <c r="L665" s="633"/>
      <c r="M665" s="633"/>
      <c r="N665" s="632"/>
      <c r="O665" s="632"/>
      <c r="P665" s="632"/>
      <c r="Q665" s="632"/>
      <c r="R665" s="632"/>
      <c r="S665" s="628"/>
      <c r="T665" s="628"/>
      <c r="U665" s="628"/>
      <c r="V665" s="628"/>
      <c r="W665" s="673"/>
      <c r="X665" s="673"/>
      <c r="Y665" s="673"/>
      <c r="Z665" s="673"/>
    </row>
    <row r="666" spans="1:26" ht="62.25" customHeight="1" x14ac:dyDescent="0.2">
      <c r="A666" s="627"/>
      <c r="B666" s="627"/>
      <c r="C666" s="627"/>
      <c r="D666" s="627"/>
      <c r="E666" s="627"/>
      <c r="F666" s="630"/>
      <c r="G666" s="630"/>
      <c r="H666" s="630"/>
      <c r="I666" s="631"/>
      <c r="J666" s="632"/>
      <c r="K666" s="633"/>
      <c r="L666" s="633"/>
      <c r="M666" s="633"/>
      <c r="N666" s="632"/>
      <c r="O666" s="632"/>
      <c r="P666" s="632"/>
      <c r="Q666" s="632"/>
      <c r="R666" s="632"/>
      <c r="S666" s="628"/>
      <c r="T666" s="628"/>
      <c r="U666" s="628"/>
      <c r="V666" s="628"/>
      <c r="W666" s="673"/>
      <c r="X666" s="673"/>
      <c r="Y666" s="673"/>
      <c r="Z666" s="673"/>
    </row>
    <row r="667" spans="1:26" ht="62.25" customHeight="1" x14ac:dyDescent="0.2">
      <c r="A667" s="627"/>
      <c r="B667" s="627"/>
      <c r="C667" s="627"/>
      <c r="D667" s="627"/>
      <c r="E667" s="627"/>
      <c r="F667" s="630"/>
      <c r="G667" s="630"/>
      <c r="H667" s="630"/>
      <c r="I667" s="631"/>
      <c r="J667" s="632"/>
      <c r="K667" s="633"/>
      <c r="L667" s="633"/>
      <c r="M667" s="633"/>
      <c r="N667" s="632"/>
      <c r="O667" s="632"/>
      <c r="P667" s="632"/>
      <c r="Q667" s="632"/>
      <c r="R667" s="632"/>
      <c r="S667" s="628"/>
      <c r="T667" s="628"/>
      <c r="U667" s="628"/>
      <c r="V667" s="628"/>
      <c r="W667" s="673"/>
      <c r="X667" s="673"/>
      <c r="Y667" s="673"/>
      <c r="Z667" s="673"/>
    </row>
    <row r="668" spans="1:26" ht="62.25" customHeight="1" x14ac:dyDescent="0.2">
      <c r="A668" s="627"/>
      <c r="B668" s="627"/>
      <c r="C668" s="627"/>
      <c r="D668" s="627"/>
      <c r="E668" s="627"/>
      <c r="F668" s="630"/>
      <c r="G668" s="630"/>
      <c r="H668" s="630"/>
      <c r="I668" s="631"/>
      <c r="J668" s="632"/>
      <c r="K668" s="633"/>
      <c r="L668" s="633"/>
      <c r="M668" s="633"/>
      <c r="N668" s="632"/>
      <c r="O668" s="632"/>
      <c r="P668" s="632"/>
      <c r="Q668" s="632"/>
      <c r="R668" s="632"/>
      <c r="S668" s="628"/>
      <c r="T668" s="628"/>
      <c r="U668" s="628"/>
      <c r="V668" s="628"/>
      <c r="W668" s="673"/>
      <c r="X668" s="673"/>
      <c r="Y668" s="673"/>
      <c r="Z668" s="673"/>
    </row>
    <row r="669" spans="1:26" ht="62.25" customHeight="1" x14ac:dyDescent="0.2">
      <c r="A669" s="627"/>
      <c r="B669" s="627"/>
      <c r="C669" s="627"/>
      <c r="D669" s="627"/>
      <c r="E669" s="627"/>
      <c r="F669" s="630"/>
      <c r="G669" s="630"/>
      <c r="H669" s="630"/>
      <c r="I669" s="631"/>
      <c r="J669" s="632"/>
      <c r="K669" s="633"/>
      <c r="L669" s="633"/>
      <c r="M669" s="633"/>
      <c r="N669" s="632"/>
      <c r="O669" s="632"/>
      <c r="P669" s="632"/>
      <c r="Q669" s="632"/>
      <c r="R669" s="632"/>
      <c r="S669" s="628"/>
      <c r="T669" s="628"/>
      <c r="U669" s="628"/>
      <c r="V669" s="628"/>
      <c r="W669" s="673"/>
      <c r="X669" s="673"/>
      <c r="Y669" s="673"/>
      <c r="Z669" s="673"/>
    </row>
    <row r="670" spans="1:26" ht="62.25" customHeight="1" x14ac:dyDescent="0.2">
      <c r="A670" s="627"/>
      <c r="B670" s="627"/>
      <c r="C670" s="627"/>
      <c r="D670" s="627"/>
      <c r="E670" s="627"/>
      <c r="F670" s="630"/>
      <c r="G670" s="630"/>
      <c r="H670" s="630"/>
      <c r="I670" s="631"/>
      <c r="J670" s="632"/>
      <c r="K670" s="633"/>
      <c r="L670" s="633"/>
      <c r="M670" s="633"/>
      <c r="N670" s="632"/>
      <c r="O670" s="632"/>
      <c r="P670" s="632"/>
      <c r="Q670" s="632"/>
      <c r="R670" s="632"/>
      <c r="S670" s="628"/>
      <c r="T670" s="628"/>
      <c r="U670" s="628"/>
      <c r="V670" s="628"/>
      <c r="W670" s="673"/>
      <c r="X670" s="673"/>
      <c r="Y670" s="673"/>
      <c r="Z670" s="673"/>
    </row>
    <row r="671" spans="1:26" ht="62.25" customHeight="1" x14ac:dyDescent="0.2">
      <c r="A671" s="627"/>
      <c r="B671" s="627"/>
      <c r="C671" s="627"/>
      <c r="D671" s="627"/>
      <c r="E671" s="627"/>
      <c r="F671" s="630"/>
      <c r="G671" s="630"/>
      <c r="H671" s="630"/>
      <c r="I671" s="631"/>
      <c r="J671" s="632"/>
      <c r="K671" s="633"/>
      <c r="L671" s="633"/>
      <c r="M671" s="633"/>
      <c r="N671" s="632"/>
      <c r="O671" s="632"/>
      <c r="P671" s="632"/>
      <c r="Q671" s="632"/>
      <c r="R671" s="632"/>
      <c r="S671" s="628"/>
      <c r="T671" s="628"/>
      <c r="U671" s="628"/>
      <c r="V671" s="628"/>
      <c r="W671" s="673"/>
      <c r="X671" s="673"/>
      <c r="Y671" s="673"/>
      <c r="Z671" s="673"/>
    </row>
    <row r="672" spans="1:26" ht="62.25" customHeight="1" x14ac:dyDescent="0.2">
      <c r="A672" s="627"/>
      <c r="B672" s="627"/>
      <c r="C672" s="627"/>
      <c r="D672" s="627"/>
      <c r="E672" s="627"/>
      <c r="F672" s="630"/>
      <c r="G672" s="630"/>
      <c r="H672" s="630"/>
      <c r="I672" s="631"/>
      <c r="J672" s="632"/>
      <c r="K672" s="633"/>
      <c r="L672" s="633"/>
      <c r="M672" s="633"/>
      <c r="N672" s="632"/>
      <c r="O672" s="632"/>
      <c r="P672" s="632"/>
      <c r="Q672" s="632"/>
      <c r="R672" s="632"/>
      <c r="S672" s="628"/>
      <c r="T672" s="628"/>
      <c r="U672" s="628"/>
      <c r="V672" s="628"/>
      <c r="W672" s="673"/>
      <c r="X672" s="673"/>
      <c r="Y672" s="673"/>
      <c r="Z672" s="673"/>
    </row>
    <row r="673" spans="1:26" ht="62.25" customHeight="1" x14ac:dyDescent="0.2">
      <c r="A673" s="627"/>
      <c r="B673" s="627"/>
      <c r="C673" s="627"/>
      <c r="D673" s="627"/>
      <c r="E673" s="627"/>
      <c r="F673" s="630"/>
      <c r="G673" s="630"/>
      <c r="H673" s="630"/>
      <c r="I673" s="631"/>
      <c r="J673" s="632"/>
      <c r="K673" s="633"/>
      <c r="L673" s="633"/>
      <c r="M673" s="633"/>
      <c r="N673" s="632"/>
      <c r="O673" s="632"/>
      <c r="P673" s="632"/>
      <c r="Q673" s="632"/>
      <c r="R673" s="632"/>
      <c r="S673" s="628"/>
      <c r="T673" s="628"/>
      <c r="U673" s="628"/>
      <c r="V673" s="628"/>
      <c r="W673" s="673"/>
      <c r="X673" s="673"/>
      <c r="Y673" s="673"/>
      <c r="Z673" s="673"/>
    </row>
    <row r="674" spans="1:26" ht="62.25" customHeight="1" x14ac:dyDescent="0.2">
      <c r="A674" s="627"/>
      <c r="B674" s="627"/>
      <c r="C674" s="627"/>
      <c r="D674" s="627"/>
      <c r="E674" s="627"/>
      <c r="F674" s="630"/>
      <c r="G674" s="630"/>
      <c r="H674" s="630"/>
      <c r="I674" s="631"/>
      <c r="J674" s="632"/>
      <c r="K674" s="633"/>
      <c r="L674" s="633"/>
      <c r="M674" s="633"/>
      <c r="N674" s="632"/>
      <c r="O674" s="632"/>
      <c r="P674" s="632"/>
      <c r="Q674" s="632"/>
      <c r="R674" s="632"/>
      <c r="S674" s="628"/>
      <c r="T674" s="628"/>
      <c r="U674" s="628"/>
      <c r="V674" s="628"/>
      <c r="W674" s="673"/>
      <c r="X674" s="673"/>
      <c r="Y674" s="673"/>
      <c r="Z674" s="673"/>
    </row>
    <row r="675" spans="1:26" ht="62.25" customHeight="1" x14ac:dyDescent="0.2">
      <c r="A675" s="627"/>
      <c r="B675" s="627"/>
      <c r="C675" s="627"/>
      <c r="D675" s="627"/>
      <c r="E675" s="627"/>
      <c r="F675" s="630"/>
      <c r="G675" s="630"/>
      <c r="H675" s="630"/>
      <c r="I675" s="631"/>
      <c r="J675" s="632"/>
      <c r="K675" s="633"/>
      <c r="L675" s="633"/>
      <c r="M675" s="633"/>
      <c r="N675" s="632"/>
      <c r="O675" s="632"/>
      <c r="P675" s="632"/>
      <c r="Q675" s="632"/>
      <c r="R675" s="632"/>
      <c r="S675" s="628"/>
      <c r="T675" s="628"/>
      <c r="U675" s="628"/>
      <c r="V675" s="628"/>
      <c r="W675" s="673"/>
      <c r="X675" s="673"/>
      <c r="Y675" s="673"/>
      <c r="Z675" s="673"/>
    </row>
    <row r="676" spans="1:26" ht="62.25" customHeight="1" x14ac:dyDescent="0.2">
      <c r="A676" s="627"/>
      <c r="B676" s="627"/>
      <c r="C676" s="627"/>
      <c r="D676" s="627"/>
      <c r="E676" s="627"/>
      <c r="F676" s="630"/>
      <c r="G676" s="630"/>
      <c r="H676" s="630"/>
      <c r="I676" s="631"/>
      <c r="J676" s="632"/>
      <c r="K676" s="633"/>
      <c r="L676" s="633"/>
      <c r="M676" s="633"/>
      <c r="N676" s="632"/>
      <c r="O676" s="632"/>
      <c r="P676" s="632"/>
      <c r="Q676" s="632"/>
      <c r="R676" s="632"/>
      <c r="S676" s="628"/>
      <c r="T676" s="628"/>
      <c r="U676" s="628"/>
      <c r="V676" s="628"/>
      <c r="W676" s="673"/>
      <c r="X676" s="673"/>
      <c r="Y676" s="673"/>
      <c r="Z676" s="673"/>
    </row>
    <row r="677" spans="1:26" ht="62.25" customHeight="1" x14ac:dyDescent="0.2">
      <c r="A677" s="627"/>
      <c r="B677" s="627"/>
      <c r="C677" s="627"/>
      <c r="D677" s="627"/>
      <c r="E677" s="627"/>
      <c r="F677" s="630"/>
      <c r="G677" s="630"/>
      <c r="H677" s="630"/>
      <c r="I677" s="631"/>
      <c r="J677" s="632"/>
      <c r="K677" s="633"/>
      <c r="L677" s="633"/>
      <c r="M677" s="633"/>
      <c r="N677" s="632"/>
      <c r="O677" s="632"/>
      <c r="P677" s="632"/>
      <c r="Q677" s="632"/>
      <c r="R677" s="632"/>
      <c r="S677" s="628"/>
      <c r="T677" s="628"/>
      <c r="U677" s="628"/>
      <c r="V677" s="628"/>
      <c r="W677" s="673"/>
      <c r="X677" s="673"/>
      <c r="Y677" s="673"/>
      <c r="Z677" s="673"/>
    </row>
    <row r="678" spans="1:26" ht="62.25" customHeight="1" x14ac:dyDescent="0.2">
      <c r="A678" s="627"/>
      <c r="B678" s="627"/>
      <c r="C678" s="627"/>
      <c r="D678" s="627"/>
      <c r="E678" s="627"/>
      <c r="F678" s="630"/>
      <c r="G678" s="630"/>
      <c r="H678" s="630"/>
      <c r="I678" s="631"/>
      <c r="J678" s="632"/>
      <c r="K678" s="633"/>
      <c r="L678" s="633"/>
      <c r="M678" s="633"/>
      <c r="N678" s="632"/>
      <c r="O678" s="632"/>
      <c r="P678" s="632"/>
      <c r="Q678" s="632"/>
      <c r="R678" s="632"/>
      <c r="S678" s="628"/>
      <c r="T678" s="628"/>
      <c r="U678" s="628"/>
      <c r="V678" s="628"/>
      <c r="W678" s="673"/>
      <c r="X678" s="673"/>
      <c r="Y678" s="673"/>
      <c r="Z678" s="673"/>
    </row>
    <row r="679" spans="1:26" ht="62.25" customHeight="1" x14ac:dyDescent="0.2">
      <c r="A679" s="627"/>
      <c r="B679" s="627"/>
      <c r="C679" s="627"/>
      <c r="D679" s="627"/>
      <c r="E679" s="627"/>
      <c r="F679" s="630"/>
      <c r="G679" s="630"/>
      <c r="H679" s="630"/>
      <c r="I679" s="631"/>
      <c r="J679" s="632"/>
      <c r="K679" s="633"/>
      <c r="L679" s="633"/>
      <c r="M679" s="633"/>
      <c r="N679" s="632"/>
      <c r="O679" s="632"/>
      <c r="P679" s="632"/>
      <c r="Q679" s="632"/>
      <c r="R679" s="632"/>
      <c r="S679" s="628"/>
      <c r="T679" s="628"/>
      <c r="U679" s="628"/>
      <c r="V679" s="628"/>
      <c r="W679" s="673"/>
      <c r="X679" s="673"/>
      <c r="Y679" s="673"/>
      <c r="Z679" s="673"/>
    </row>
    <row r="680" spans="1:26" ht="62.25" customHeight="1" x14ac:dyDescent="0.2">
      <c r="A680" s="627"/>
      <c r="B680" s="627"/>
      <c r="C680" s="627"/>
      <c r="D680" s="627"/>
      <c r="E680" s="627"/>
      <c r="F680" s="630"/>
      <c r="G680" s="630"/>
      <c r="H680" s="630"/>
      <c r="I680" s="631"/>
      <c r="J680" s="632"/>
      <c r="K680" s="633"/>
      <c r="L680" s="633"/>
      <c r="M680" s="633"/>
      <c r="N680" s="632"/>
      <c r="O680" s="632"/>
      <c r="P680" s="632"/>
      <c r="Q680" s="632"/>
      <c r="R680" s="632"/>
      <c r="S680" s="628"/>
      <c r="T680" s="628"/>
      <c r="U680" s="628"/>
      <c r="V680" s="628"/>
      <c r="W680" s="673"/>
      <c r="X680" s="673"/>
      <c r="Y680" s="673"/>
      <c r="Z680" s="673"/>
    </row>
    <row r="681" spans="1:26" ht="62.25" customHeight="1" x14ac:dyDescent="0.2">
      <c r="A681" s="627"/>
      <c r="B681" s="627"/>
      <c r="C681" s="627"/>
      <c r="D681" s="627"/>
      <c r="E681" s="627"/>
      <c r="F681" s="630"/>
      <c r="G681" s="630"/>
      <c r="H681" s="630"/>
      <c r="I681" s="631"/>
      <c r="J681" s="632"/>
      <c r="K681" s="633"/>
      <c r="L681" s="633"/>
      <c r="M681" s="633"/>
      <c r="N681" s="632"/>
      <c r="O681" s="632"/>
      <c r="P681" s="632"/>
      <c r="Q681" s="632"/>
      <c r="R681" s="632"/>
      <c r="S681" s="628"/>
      <c r="T681" s="628"/>
      <c r="U681" s="628"/>
      <c r="V681" s="628"/>
      <c r="W681" s="673"/>
      <c r="X681" s="673"/>
      <c r="Y681" s="673"/>
      <c r="Z681" s="673"/>
    </row>
    <row r="682" spans="1:26" ht="62.25" customHeight="1" x14ac:dyDescent="0.2">
      <c r="A682" s="627"/>
      <c r="B682" s="627"/>
      <c r="C682" s="627"/>
      <c r="D682" s="627"/>
      <c r="E682" s="627"/>
      <c r="F682" s="630"/>
      <c r="G682" s="630"/>
      <c r="H682" s="630"/>
      <c r="I682" s="631"/>
      <c r="J682" s="632"/>
      <c r="K682" s="633"/>
      <c r="L682" s="633"/>
      <c r="M682" s="633"/>
      <c r="N682" s="632"/>
      <c r="O682" s="632"/>
      <c r="P682" s="632"/>
      <c r="Q682" s="632"/>
      <c r="R682" s="632"/>
      <c r="S682" s="628"/>
      <c r="T682" s="628"/>
      <c r="U682" s="628"/>
      <c r="V682" s="628"/>
      <c r="W682" s="673"/>
      <c r="X682" s="673"/>
      <c r="Y682" s="673"/>
      <c r="Z682" s="673"/>
    </row>
    <row r="683" spans="1:26" ht="62.25" customHeight="1" x14ac:dyDescent="0.2">
      <c r="A683" s="627"/>
      <c r="B683" s="627"/>
      <c r="C683" s="627"/>
      <c r="D683" s="627"/>
      <c r="E683" s="627"/>
      <c r="F683" s="630"/>
      <c r="G683" s="630"/>
      <c r="H683" s="630"/>
      <c r="I683" s="631"/>
      <c r="J683" s="632"/>
      <c r="K683" s="633"/>
      <c r="L683" s="633"/>
      <c r="M683" s="633"/>
      <c r="N683" s="632"/>
      <c r="O683" s="632"/>
      <c r="P683" s="632"/>
      <c r="Q683" s="632"/>
      <c r="R683" s="632"/>
      <c r="S683" s="628"/>
      <c r="T683" s="628"/>
      <c r="U683" s="628"/>
      <c r="V683" s="628"/>
      <c r="W683" s="673"/>
      <c r="X683" s="673"/>
      <c r="Y683" s="673"/>
      <c r="Z683" s="673"/>
    </row>
    <row r="684" spans="1:26" ht="62.25" customHeight="1" x14ac:dyDescent="0.2">
      <c r="A684" s="627"/>
      <c r="B684" s="627"/>
      <c r="C684" s="627"/>
      <c r="D684" s="627"/>
      <c r="E684" s="627"/>
      <c r="F684" s="630"/>
      <c r="G684" s="630"/>
      <c r="H684" s="630"/>
      <c r="I684" s="631"/>
      <c r="J684" s="632"/>
      <c r="K684" s="633"/>
      <c r="L684" s="633"/>
      <c r="M684" s="633"/>
      <c r="N684" s="632"/>
      <c r="O684" s="632"/>
      <c r="P684" s="632"/>
      <c r="Q684" s="632"/>
      <c r="R684" s="632"/>
      <c r="S684" s="628"/>
      <c r="T684" s="628"/>
      <c r="U684" s="628"/>
      <c r="V684" s="628"/>
      <c r="W684" s="673"/>
      <c r="X684" s="673"/>
      <c r="Y684" s="673"/>
      <c r="Z684" s="673"/>
    </row>
    <row r="685" spans="1:26" ht="62.25" customHeight="1" x14ac:dyDescent="0.2">
      <c r="A685" s="627"/>
      <c r="B685" s="627"/>
      <c r="C685" s="627"/>
      <c r="D685" s="627"/>
      <c r="E685" s="627"/>
      <c r="F685" s="630"/>
      <c r="G685" s="630"/>
      <c r="H685" s="630"/>
      <c r="I685" s="631"/>
      <c r="J685" s="632"/>
      <c r="K685" s="633"/>
      <c r="L685" s="633"/>
      <c r="M685" s="633"/>
      <c r="N685" s="632"/>
      <c r="O685" s="632"/>
      <c r="P685" s="632"/>
      <c r="Q685" s="632"/>
      <c r="R685" s="632"/>
      <c r="S685" s="628"/>
      <c r="T685" s="628"/>
      <c r="U685" s="628"/>
      <c r="V685" s="628"/>
      <c r="W685" s="673"/>
      <c r="X685" s="673"/>
      <c r="Y685" s="673"/>
      <c r="Z685" s="673"/>
    </row>
    <row r="686" spans="1:26" ht="62.25" customHeight="1" x14ac:dyDescent="0.2">
      <c r="A686" s="627"/>
      <c r="B686" s="627"/>
      <c r="C686" s="627"/>
      <c r="D686" s="627"/>
      <c r="E686" s="627"/>
      <c r="F686" s="630"/>
      <c r="G686" s="630"/>
      <c r="H686" s="630"/>
      <c r="I686" s="631"/>
      <c r="J686" s="632"/>
      <c r="K686" s="633"/>
      <c r="L686" s="633"/>
      <c r="M686" s="633"/>
      <c r="N686" s="632"/>
      <c r="O686" s="632"/>
      <c r="P686" s="632"/>
      <c r="Q686" s="632"/>
      <c r="R686" s="632"/>
      <c r="S686" s="628"/>
      <c r="T686" s="628"/>
      <c r="U686" s="628"/>
      <c r="V686" s="628"/>
      <c r="W686" s="673"/>
      <c r="X686" s="673"/>
      <c r="Y686" s="673"/>
      <c r="Z686" s="673"/>
    </row>
    <row r="687" spans="1:26" ht="62.25" customHeight="1" x14ac:dyDescent="0.2">
      <c r="A687" s="627"/>
      <c r="B687" s="627"/>
      <c r="C687" s="627"/>
      <c r="D687" s="627"/>
      <c r="E687" s="627"/>
      <c r="F687" s="630"/>
      <c r="G687" s="630"/>
      <c r="H687" s="630"/>
      <c r="I687" s="631"/>
      <c r="J687" s="632"/>
      <c r="K687" s="633"/>
      <c r="L687" s="633"/>
      <c r="M687" s="633"/>
      <c r="N687" s="632"/>
      <c r="O687" s="632"/>
      <c r="P687" s="632"/>
      <c r="Q687" s="632"/>
      <c r="R687" s="632"/>
      <c r="S687" s="628"/>
      <c r="T687" s="628"/>
      <c r="U687" s="628"/>
      <c r="V687" s="628"/>
      <c r="W687" s="673"/>
      <c r="X687" s="673"/>
      <c r="Y687" s="673"/>
      <c r="Z687" s="673"/>
    </row>
    <row r="688" spans="1:26" ht="62.25" customHeight="1" x14ac:dyDescent="0.2">
      <c r="A688" s="627"/>
      <c r="B688" s="627"/>
      <c r="C688" s="627"/>
      <c r="D688" s="627"/>
      <c r="E688" s="627"/>
      <c r="F688" s="630"/>
      <c r="G688" s="630"/>
      <c r="H688" s="630"/>
      <c r="I688" s="631"/>
      <c r="J688" s="632"/>
      <c r="K688" s="633"/>
      <c r="L688" s="633"/>
      <c r="M688" s="633"/>
      <c r="N688" s="632"/>
      <c r="O688" s="632"/>
      <c r="P688" s="632"/>
      <c r="Q688" s="632"/>
      <c r="R688" s="632"/>
      <c r="S688" s="628"/>
      <c r="T688" s="628"/>
      <c r="U688" s="628"/>
      <c r="V688" s="628"/>
      <c r="W688" s="673"/>
      <c r="X688" s="673"/>
      <c r="Y688" s="673"/>
      <c r="Z688" s="673"/>
    </row>
    <row r="689" spans="1:26" ht="62.25" customHeight="1" x14ac:dyDescent="0.2">
      <c r="A689" s="627"/>
      <c r="B689" s="627"/>
      <c r="C689" s="627"/>
      <c r="D689" s="627"/>
      <c r="E689" s="627"/>
      <c r="F689" s="630"/>
      <c r="G689" s="630"/>
      <c r="H689" s="630"/>
      <c r="I689" s="631"/>
      <c r="J689" s="632"/>
      <c r="K689" s="633"/>
      <c r="L689" s="633"/>
      <c r="M689" s="633"/>
      <c r="N689" s="632"/>
      <c r="O689" s="632"/>
      <c r="P689" s="632"/>
      <c r="Q689" s="632"/>
      <c r="R689" s="632"/>
      <c r="S689" s="628"/>
      <c r="T689" s="628"/>
      <c r="U689" s="628"/>
      <c r="V689" s="628"/>
      <c r="W689" s="673"/>
      <c r="X689" s="673"/>
      <c r="Y689" s="673"/>
      <c r="Z689" s="673"/>
    </row>
    <row r="690" spans="1:26" ht="62.25" customHeight="1" x14ac:dyDescent="0.2">
      <c r="A690" s="627"/>
      <c r="B690" s="627"/>
      <c r="C690" s="627"/>
      <c r="D690" s="627"/>
      <c r="E690" s="627"/>
      <c r="F690" s="630"/>
      <c r="G690" s="630"/>
      <c r="H690" s="630"/>
      <c r="I690" s="631"/>
      <c r="J690" s="632"/>
      <c r="K690" s="633"/>
      <c r="L690" s="633"/>
      <c r="M690" s="633"/>
      <c r="N690" s="632"/>
      <c r="O690" s="632"/>
      <c r="P690" s="632"/>
      <c r="Q690" s="632"/>
      <c r="R690" s="632"/>
      <c r="S690" s="628"/>
      <c r="T690" s="628"/>
      <c r="U690" s="628"/>
      <c r="V690" s="628"/>
      <c r="W690" s="673"/>
      <c r="X690" s="673"/>
      <c r="Y690" s="673"/>
      <c r="Z690" s="673"/>
    </row>
    <row r="691" spans="1:26" ht="62.25" customHeight="1" x14ac:dyDescent="0.2">
      <c r="A691" s="627"/>
      <c r="B691" s="627"/>
      <c r="C691" s="627"/>
      <c r="D691" s="627"/>
      <c r="E691" s="627"/>
      <c r="F691" s="630"/>
      <c r="G691" s="630"/>
      <c r="H691" s="630"/>
      <c r="I691" s="631"/>
      <c r="J691" s="632"/>
      <c r="K691" s="633"/>
      <c r="L691" s="633"/>
      <c r="M691" s="633"/>
      <c r="N691" s="632"/>
      <c r="O691" s="632"/>
      <c r="P691" s="632"/>
      <c r="Q691" s="632"/>
      <c r="R691" s="632"/>
      <c r="S691" s="628"/>
      <c r="T691" s="628"/>
      <c r="U691" s="628"/>
      <c r="V691" s="628"/>
      <c r="W691" s="673"/>
      <c r="X691" s="673"/>
      <c r="Y691" s="673"/>
      <c r="Z691" s="673"/>
    </row>
    <row r="692" spans="1:26" ht="62.25" customHeight="1" x14ac:dyDescent="0.2">
      <c r="A692" s="627"/>
      <c r="B692" s="627"/>
      <c r="C692" s="627"/>
      <c r="D692" s="627"/>
      <c r="E692" s="627"/>
      <c r="F692" s="630"/>
      <c r="G692" s="630"/>
      <c r="H692" s="630"/>
      <c r="I692" s="631"/>
      <c r="J692" s="632"/>
      <c r="K692" s="633"/>
      <c r="L692" s="633"/>
      <c r="M692" s="633"/>
      <c r="N692" s="632"/>
      <c r="O692" s="632"/>
      <c r="P692" s="632"/>
      <c r="Q692" s="632"/>
      <c r="R692" s="632"/>
      <c r="S692" s="628"/>
      <c r="T692" s="628"/>
      <c r="U692" s="628"/>
      <c r="V692" s="628"/>
      <c r="W692" s="673"/>
      <c r="X692" s="673"/>
      <c r="Y692" s="673"/>
      <c r="Z692" s="673"/>
    </row>
    <row r="693" spans="1:26" ht="62.25" customHeight="1" x14ac:dyDescent="0.2">
      <c r="A693" s="627"/>
      <c r="B693" s="627"/>
      <c r="C693" s="627"/>
      <c r="D693" s="627"/>
      <c r="E693" s="627"/>
      <c r="F693" s="630"/>
      <c r="G693" s="630"/>
      <c r="H693" s="630"/>
      <c r="I693" s="631"/>
      <c r="J693" s="632"/>
      <c r="K693" s="633"/>
      <c r="L693" s="633"/>
      <c r="M693" s="633"/>
      <c r="N693" s="632"/>
      <c r="O693" s="632"/>
      <c r="P693" s="632"/>
      <c r="Q693" s="632"/>
      <c r="R693" s="632"/>
      <c r="S693" s="628"/>
      <c r="T693" s="628"/>
      <c r="U693" s="628"/>
      <c r="V693" s="628"/>
      <c r="W693" s="673"/>
      <c r="X693" s="673"/>
      <c r="Y693" s="673"/>
      <c r="Z693" s="673"/>
    </row>
    <row r="694" spans="1:26" ht="62.25" customHeight="1" x14ac:dyDescent="0.2">
      <c r="A694" s="627"/>
      <c r="B694" s="627"/>
      <c r="C694" s="627"/>
      <c r="D694" s="627"/>
      <c r="E694" s="627"/>
      <c r="F694" s="630"/>
      <c r="G694" s="630"/>
      <c r="H694" s="630"/>
      <c r="I694" s="631"/>
      <c r="J694" s="632"/>
      <c r="K694" s="633"/>
      <c r="L694" s="633"/>
      <c r="M694" s="633"/>
      <c r="N694" s="632"/>
      <c r="O694" s="632"/>
      <c r="P694" s="632"/>
      <c r="Q694" s="632"/>
      <c r="R694" s="632"/>
      <c r="S694" s="628"/>
      <c r="T694" s="628"/>
      <c r="U694" s="628"/>
      <c r="V694" s="628"/>
      <c r="W694" s="673"/>
      <c r="X694" s="673"/>
      <c r="Y694" s="673"/>
      <c r="Z694" s="673"/>
    </row>
    <row r="695" spans="1:26" ht="62.25" customHeight="1" x14ac:dyDescent="0.2">
      <c r="A695" s="627"/>
      <c r="B695" s="627"/>
      <c r="C695" s="627"/>
      <c r="D695" s="627"/>
      <c r="E695" s="627"/>
      <c r="F695" s="630"/>
      <c r="G695" s="630"/>
      <c r="H695" s="630"/>
      <c r="I695" s="631"/>
      <c r="J695" s="632"/>
      <c r="K695" s="633"/>
      <c r="L695" s="633"/>
      <c r="M695" s="633"/>
      <c r="N695" s="632"/>
      <c r="O695" s="632"/>
      <c r="P695" s="632"/>
      <c r="Q695" s="632"/>
      <c r="R695" s="632"/>
      <c r="S695" s="628"/>
      <c r="T695" s="628"/>
      <c r="U695" s="628"/>
      <c r="V695" s="628"/>
      <c r="W695" s="673"/>
      <c r="X695" s="673"/>
      <c r="Y695" s="673"/>
      <c r="Z695" s="673"/>
    </row>
    <row r="696" spans="1:26" ht="62.25" customHeight="1" x14ac:dyDescent="0.2">
      <c r="A696" s="627"/>
      <c r="B696" s="627"/>
      <c r="C696" s="627"/>
      <c r="D696" s="627"/>
      <c r="E696" s="627"/>
      <c r="F696" s="630"/>
      <c r="G696" s="630"/>
      <c r="H696" s="630"/>
      <c r="I696" s="631"/>
      <c r="J696" s="632"/>
      <c r="K696" s="633"/>
      <c r="L696" s="633"/>
      <c r="M696" s="633"/>
      <c r="N696" s="632"/>
      <c r="O696" s="632"/>
      <c r="P696" s="632"/>
      <c r="Q696" s="632"/>
      <c r="R696" s="632"/>
      <c r="S696" s="628"/>
      <c r="T696" s="628"/>
      <c r="U696" s="628"/>
      <c r="V696" s="628"/>
      <c r="W696" s="673"/>
      <c r="X696" s="673"/>
      <c r="Y696" s="673"/>
      <c r="Z696" s="673"/>
    </row>
    <row r="697" spans="1:26" ht="62.25" customHeight="1" x14ac:dyDescent="0.2">
      <c r="A697" s="627"/>
      <c r="B697" s="627"/>
      <c r="C697" s="627"/>
      <c r="D697" s="627"/>
      <c r="E697" s="627"/>
      <c r="F697" s="630"/>
      <c r="G697" s="630"/>
      <c r="H697" s="630"/>
      <c r="I697" s="631"/>
      <c r="J697" s="632"/>
      <c r="K697" s="633"/>
      <c r="L697" s="633"/>
      <c r="M697" s="633"/>
      <c r="N697" s="632"/>
      <c r="O697" s="632"/>
      <c r="P697" s="632"/>
      <c r="Q697" s="632"/>
      <c r="R697" s="632"/>
      <c r="S697" s="628"/>
      <c r="T697" s="628"/>
      <c r="U697" s="628"/>
      <c r="V697" s="628"/>
      <c r="W697" s="673"/>
      <c r="X697" s="673"/>
      <c r="Y697" s="673"/>
      <c r="Z697" s="673"/>
    </row>
    <row r="698" spans="1:26" ht="62.25" customHeight="1" x14ac:dyDescent="0.2">
      <c r="A698" s="627"/>
      <c r="B698" s="627"/>
      <c r="C698" s="627"/>
      <c r="D698" s="627"/>
      <c r="E698" s="627"/>
      <c r="F698" s="630"/>
      <c r="G698" s="630"/>
      <c r="H698" s="630"/>
      <c r="I698" s="631"/>
      <c r="J698" s="632"/>
      <c r="K698" s="633"/>
      <c r="L698" s="633"/>
      <c r="M698" s="633"/>
      <c r="N698" s="632"/>
      <c r="O698" s="632"/>
      <c r="P698" s="632"/>
      <c r="Q698" s="632"/>
      <c r="R698" s="632"/>
      <c r="S698" s="628"/>
      <c r="T698" s="628"/>
      <c r="U698" s="628"/>
      <c r="V698" s="628"/>
      <c r="W698" s="673"/>
      <c r="X698" s="673"/>
      <c r="Y698" s="673"/>
      <c r="Z698" s="673"/>
    </row>
    <row r="699" spans="1:26" ht="62.25" customHeight="1" x14ac:dyDescent="0.2">
      <c r="A699" s="627"/>
      <c r="B699" s="627"/>
      <c r="C699" s="627"/>
      <c r="D699" s="627"/>
      <c r="E699" s="627"/>
      <c r="F699" s="630"/>
      <c r="G699" s="630"/>
      <c r="H699" s="630"/>
      <c r="I699" s="631"/>
      <c r="J699" s="632"/>
      <c r="K699" s="633"/>
      <c r="L699" s="633"/>
      <c r="M699" s="633"/>
      <c r="N699" s="632"/>
      <c r="O699" s="632"/>
      <c r="P699" s="632"/>
      <c r="Q699" s="632"/>
      <c r="R699" s="632"/>
      <c r="S699" s="628"/>
      <c r="T699" s="628"/>
      <c r="U699" s="628"/>
      <c r="V699" s="628"/>
      <c r="W699" s="673"/>
      <c r="X699" s="673"/>
      <c r="Y699" s="673"/>
      <c r="Z699" s="673"/>
    </row>
    <row r="700" spans="1:26" ht="62.25" customHeight="1" x14ac:dyDescent="0.2">
      <c r="A700" s="627"/>
      <c r="B700" s="627"/>
      <c r="C700" s="627"/>
      <c r="D700" s="627"/>
      <c r="E700" s="627"/>
      <c r="F700" s="630"/>
      <c r="G700" s="630"/>
      <c r="H700" s="630"/>
      <c r="I700" s="631"/>
      <c r="J700" s="632"/>
      <c r="K700" s="633"/>
      <c r="L700" s="633"/>
      <c r="M700" s="633"/>
      <c r="N700" s="632"/>
      <c r="O700" s="632"/>
      <c r="P700" s="632"/>
      <c r="Q700" s="632"/>
      <c r="R700" s="632"/>
      <c r="S700" s="628"/>
      <c r="T700" s="628"/>
      <c r="U700" s="628"/>
      <c r="V700" s="628"/>
      <c r="W700" s="673"/>
      <c r="X700" s="673"/>
      <c r="Y700" s="673"/>
      <c r="Z700" s="673"/>
    </row>
    <row r="701" spans="1:26" ht="62.25" customHeight="1" x14ac:dyDescent="0.2">
      <c r="A701" s="627"/>
      <c r="B701" s="627"/>
      <c r="C701" s="627"/>
      <c r="D701" s="627"/>
      <c r="E701" s="627"/>
      <c r="F701" s="630"/>
      <c r="G701" s="630"/>
      <c r="H701" s="630"/>
      <c r="I701" s="631"/>
      <c r="J701" s="632"/>
      <c r="K701" s="633"/>
      <c r="L701" s="633"/>
      <c r="M701" s="633"/>
      <c r="N701" s="632"/>
      <c r="O701" s="632"/>
      <c r="P701" s="632"/>
      <c r="Q701" s="632"/>
      <c r="R701" s="632"/>
      <c r="S701" s="628"/>
      <c r="T701" s="628"/>
      <c r="U701" s="628"/>
      <c r="V701" s="628"/>
      <c r="W701" s="673"/>
      <c r="X701" s="673"/>
      <c r="Y701" s="673"/>
      <c r="Z701" s="673"/>
    </row>
    <row r="702" spans="1:26" ht="62.25" customHeight="1" x14ac:dyDescent="0.2">
      <c r="A702" s="627"/>
      <c r="B702" s="627"/>
      <c r="C702" s="627"/>
      <c r="D702" s="627"/>
      <c r="E702" s="627"/>
      <c r="F702" s="630"/>
      <c r="G702" s="630"/>
      <c r="H702" s="630"/>
      <c r="I702" s="631"/>
      <c r="J702" s="632"/>
      <c r="K702" s="633"/>
      <c r="L702" s="633"/>
      <c r="M702" s="633"/>
      <c r="N702" s="632"/>
      <c r="O702" s="632"/>
      <c r="P702" s="632"/>
      <c r="Q702" s="632"/>
      <c r="R702" s="632"/>
      <c r="S702" s="628"/>
      <c r="T702" s="628"/>
      <c r="U702" s="628"/>
      <c r="V702" s="628"/>
      <c r="W702" s="673"/>
      <c r="X702" s="673"/>
      <c r="Y702" s="673"/>
      <c r="Z702" s="673"/>
    </row>
    <row r="703" spans="1:26" ht="62.25" customHeight="1" x14ac:dyDescent="0.2">
      <c r="A703" s="627"/>
      <c r="B703" s="627"/>
      <c r="C703" s="627"/>
      <c r="D703" s="627"/>
      <c r="E703" s="627"/>
      <c r="F703" s="630"/>
      <c r="G703" s="630"/>
      <c r="H703" s="630"/>
      <c r="I703" s="631"/>
      <c r="J703" s="632"/>
      <c r="K703" s="633"/>
      <c r="L703" s="633"/>
      <c r="M703" s="633"/>
      <c r="N703" s="632"/>
      <c r="O703" s="632"/>
      <c r="P703" s="632"/>
      <c r="Q703" s="632"/>
      <c r="R703" s="632"/>
      <c r="S703" s="628"/>
      <c r="T703" s="628"/>
      <c r="U703" s="628"/>
      <c r="V703" s="628"/>
      <c r="W703" s="673"/>
      <c r="X703" s="673"/>
      <c r="Y703" s="673"/>
      <c r="Z703" s="673"/>
    </row>
    <row r="704" spans="1:26" ht="62.25" customHeight="1" x14ac:dyDescent="0.2">
      <c r="A704" s="627"/>
      <c r="B704" s="627"/>
      <c r="C704" s="627"/>
      <c r="D704" s="627"/>
      <c r="E704" s="627"/>
      <c r="F704" s="630"/>
      <c r="G704" s="630"/>
      <c r="H704" s="630"/>
      <c r="I704" s="631"/>
      <c r="J704" s="632"/>
      <c r="K704" s="633"/>
      <c r="L704" s="633"/>
      <c r="M704" s="633"/>
      <c r="N704" s="632"/>
      <c r="O704" s="632"/>
      <c r="P704" s="632"/>
      <c r="Q704" s="632"/>
      <c r="R704" s="632"/>
      <c r="S704" s="628"/>
      <c r="T704" s="628"/>
      <c r="U704" s="628"/>
      <c r="V704" s="628"/>
      <c r="W704" s="673"/>
      <c r="X704" s="673"/>
      <c r="Y704" s="673"/>
      <c r="Z704" s="673"/>
    </row>
    <row r="705" spans="1:26" ht="62.25" customHeight="1" x14ac:dyDescent="0.2">
      <c r="A705" s="627"/>
      <c r="B705" s="627"/>
      <c r="C705" s="627"/>
      <c r="D705" s="627"/>
      <c r="E705" s="627"/>
      <c r="F705" s="630"/>
      <c r="G705" s="630"/>
      <c r="H705" s="630"/>
      <c r="I705" s="631"/>
      <c r="J705" s="632"/>
      <c r="K705" s="633"/>
      <c r="L705" s="633"/>
      <c r="M705" s="633"/>
      <c r="N705" s="632"/>
      <c r="O705" s="632"/>
      <c r="P705" s="632"/>
      <c r="Q705" s="632"/>
      <c r="R705" s="632"/>
      <c r="S705" s="628"/>
      <c r="T705" s="628"/>
      <c r="U705" s="628"/>
      <c r="V705" s="628"/>
      <c r="W705" s="673"/>
      <c r="X705" s="673"/>
      <c r="Y705" s="673"/>
      <c r="Z705" s="673"/>
    </row>
    <row r="706" spans="1:26" ht="62.25" customHeight="1" x14ac:dyDescent="0.2">
      <c r="A706" s="627"/>
      <c r="B706" s="627"/>
      <c r="C706" s="627"/>
      <c r="D706" s="627"/>
      <c r="E706" s="627"/>
      <c r="F706" s="630"/>
      <c r="G706" s="630"/>
      <c r="H706" s="630"/>
      <c r="I706" s="631"/>
      <c r="J706" s="632"/>
      <c r="K706" s="633"/>
      <c r="L706" s="633"/>
      <c r="M706" s="633"/>
      <c r="N706" s="632"/>
      <c r="O706" s="632"/>
      <c r="P706" s="632"/>
      <c r="Q706" s="632"/>
      <c r="R706" s="632"/>
      <c r="S706" s="628"/>
      <c r="T706" s="628"/>
      <c r="U706" s="628"/>
      <c r="V706" s="628"/>
      <c r="W706" s="673"/>
      <c r="X706" s="673"/>
      <c r="Y706" s="673"/>
      <c r="Z706" s="673"/>
    </row>
    <row r="707" spans="1:26" ht="62.25" customHeight="1" x14ac:dyDescent="0.2">
      <c r="A707" s="627"/>
      <c r="B707" s="627"/>
      <c r="C707" s="627"/>
      <c r="D707" s="627"/>
      <c r="E707" s="627"/>
      <c r="F707" s="630"/>
      <c r="G707" s="630"/>
      <c r="H707" s="630"/>
      <c r="I707" s="631"/>
      <c r="J707" s="632"/>
      <c r="K707" s="633"/>
      <c r="L707" s="633"/>
      <c r="M707" s="633"/>
      <c r="N707" s="632"/>
      <c r="O707" s="632"/>
      <c r="P707" s="632"/>
      <c r="Q707" s="632"/>
      <c r="R707" s="632"/>
      <c r="S707" s="628"/>
      <c r="T707" s="628"/>
      <c r="U707" s="628"/>
      <c r="V707" s="628"/>
      <c r="W707" s="673"/>
      <c r="X707" s="673"/>
      <c r="Y707" s="673"/>
      <c r="Z707" s="673"/>
    </row>
    <row r="708" spans="1:26" ht="62.25" customHeight="1" x14ac:dyDescent="0.2">
      <c r="A708" s="627"/>
      <c r="B708" s="627"/>
      <c r="C708" s="627"/>
      <c r="D708" s="627"/>
      <c r="E708" s="627"/>
      <c r="F708" s="630"/>
      <c r="G708" s="630"/>
      <c r="H708" s="630"/>
      <c r="I708" s="631"/>
      <c r="J708" s="632"/>
      <c r="K708" s="633"/>
      <c r="L708" s="633"/>
      <c r="M708" s="633"/>
      <c r="N708" s="632"/>
      <c r="O708" s="632"/>
      <c r="P708" s="632"/>
      <c r="Q708" s="632"/>
      <c r="R708" s="632"/>
      <c r="S708" s="628"/>
      <c r="T708" s="628"/>
      <c r="U708" s="628"/>
      <c r="V708" s="628"/>
      <c r="W708" s="673"/>
      <c r="X708" s="673"/>
      <c r="Y708" s="673"/>
      <c r="Z708" s="673"/>
    </row>
    <row r="709" spans="1:26" ht="62.25" customHeight="1" x14ac:dyDescent="0.2">
      <c r="A709" s="627"/>
      <c r="B709" s="627"/>
      <c r="C709" s="627"/>
      <c r="D709" s="627"/>
      <c r="E709" s="627"/>
      <c r="F709" s="630"/>
      <c r="G709" s="630"/>
      <c r="H709" s="630"/>
      <c r="I709" s="631"/>
      <c r="J709" s="632"/>
      <c r="K709" s="633"/>
      <c r="L709" s="633"/>
      <c r="M709" s="633"/>
      <c r="N709" s="632"/>
      <c r="O709" s="632"/>
      <c r="P709" s="632"/>
      <c r="Q709" s="632"/>
      <c r="R709" s="632"/>
      <c r="S709" s="628"/>
      <c r="T709" s="628"/>
      <c r="U709" s="628"/>
      <c r="V709" s="628"/>
      <c r="W709" s="673"/>
      <c r="X709" s="673"/>
      <c r="Y709" s="673"/>
      <c r="Z709" s="673"/>
    </row>
    <row r="710" spans="1:26" ht="62.25" customHeight="1" x14ac:dyDescent="0.2">
      <c r="A710" s="627"/>
      <c r="B710" s="627"/>
      <c r="C710" s="627"/>
      <c r="D710" s="627"/>
      <c r="E710" s="627"/>
      <c r="F710" s="630"/>
      <c r="G710" s="630"/>
      <c r="H710" s="630"/>
      <c r="I710" s="631"/>
      <c r="J710" s="632"/>
      <c r="K710" s="633"/>
      <c r="L710" s="633"/>
      <c r="M710" s="633"/>
      <c r="N710" s="632"/>
      <c r="O710" s="632"/>
      <c r="P710" s="632"/>
      <c r="Q710" s="632"/>
      <c r="R710" s="632"/>
      <c r="S710" s="628"/>
      <c r="T710" s="628"/>
      <c r="U710" s="628"/>
      <c r="V710" s="628"/>
      <c r="W710" s="673"/>
      <c r="X710" s="673"/>
      <c r="Y710" s="673"/>
      <c r="Z710" s="673"/>
    </row>
    <row r="711" spans="1:26" ht="62.25" customHeight="1" x14ac:dyDescent="0.2">
      <c r="A711" s="627"/>
      <c r="B711" s="627"/>
      <c r="C711" s="627"/>
      <c r="D711" s="627"/>
      <c r="E711" s="627"/>
      <c r="F711" s="630"/>
      <c r="G711" s="630"/>
      <c r="H711" s="630"/>
      <c r="I711" s="631"/>
      <c r="J711" s="632"/>
      <c r="K711" s="633"/>
      <c r="L711" s="633"/>
      <c r="M711" s="633"/>
      <c r="N711" s="632"/>
      <c r="O711" s="632"/>
      <c r="P711" s="632"/>
      <c r="Q711" s="632"/>
      <c r="R711" s="632"/>
      <c r="S711" s="628"/>
      <c r="T711" s="628"/>
      <c r="U711" s="628"/>
      <c r="V711" s="628"/>
      <c r="W711" s="673"/>
      <c r="X711" s="673"/>
      <c r="Y711" s="673"/>
      <c r="Z711" s="673"/>
    </row>
    <row r="712" spans="1:26" ht="62.25" customHeight="1" x14ac:dyDescent="0.2">
      <c r="A712" s="627"/>
      <c r="B712" s="627"/>
      <c r="C712" s="627"/>
      <c r="D712" s="627"/>
      <c r="E712" s="627"/>
      <c r="F712" s="630"/>
      <c r="G712" s="630"/>
      <c r="H712" s="630"/>
      <c r="I712" s="631"/>
      <c r="J712" s="632"/>
      <c r="K712" s="633"/>
      <c r="L712" s="633"/>
      <c r="M712" s="633"/>
      <c r="N712" s="632"/>
      <c r="O712" s="632"/>
      <c r="P712" s="632"/>
      <c r="Q712" s="632"/>
      <c r="R712" s="632"/>
      <c r="S712" s="628"/>
      <c r="T712" s="628"/>
      <c r="U712" s="628"/>
      <c r="V712" s="628"/>
      <c r="W712" s="673"/>
      <c r="X712" s="673"/>
      <c r="Y712" s="673"/>
      <c r="Z712" s="673"/>
    </row>
    <row r="713" spans="1:26" ht="62.25" customHeight="1" x14ac:dyDescent="0.2">
      <c r="A713" s="627"/>
      <c r="B713" s="627"/>
      <c r="C713" s="627"/>
      <c r="D713" s="627"/>
      <c r="E713" s="627"/>
      <c r="F713" s="630"/>
      <c r="G713" s="630"/>
      <c r="H713" s="630"/>
      <c r="I713" s="631"/>
      <c r="J713" s="632"/>
      <c r="K713" s="633"/>
      <c r="L713" s="633"/>
      <c r="M713" s="633"/>
      <c r="N713" s="632"/>
      <c r="O713" s="632"/>
      <c r="P713" s="632"/>
      <c r="Q713" s="632"/>
      <c r="R713" s="632"/>
      <c r="S713" s="628"/>
      <c r="T713" s="628"/>
      <c r="U713" s="628"/>
      <c r="V713" s="628"/>
      <c r="W713" s="673"/>
      <c r="X713" s="673"/>
      <c r="Y713" s="673"/>
      <c r="Z713" s="673"/>
    </row>
    <row r="714" spans="1:26" ht="62.25" customHeight="1" x14ac:dyDescent="0.2">
      <c r="A714" s="627"/>
      <c r="B714" s="627"/>
      <c r="C714" s="627"/>
      <c r="D714" s="627"/>
      <c r="E714" s="627"/>
      <c r="F714" s="630"/>
      <c r="G714" s="630"/>
      <c r="H714" s="630"/>
      <c r="I714" s="631"/>
      <c r="J714" s="632"/>
      <c r="K714" s="633"/>
      <c r="L714" s="633"/>
      <c r="M714" s="633"/>
      <c r="N714" s="632"/>
      <c r="O714" s="632"/>
      <c r="P714" s="632"/>
      <c r="Q714" s="632"/>
      <c r="R714" s="632"/>
      <c r="S714" s="628"/>
      <c r="T714" s="628"/>
      <c r="U714" s="628"/>
      <c r="V714" s="628"/>
      <c r="W714" s="673"/>
      <c r="X714" s="673"/>
      <c r="Y714" s="673"/>
      <c r="Z714" s="673"/>
    </row>
    <row r="715" spans="1:26" ht="62.25" customHeight="1" x14ac:dyDescent="0.2">
      <c r="A715" s="627"/>
      <c r="B715" s="627"/>
      <c r="C715" s="627"/>
      <c r="D715" s="627"/>
      <c r="E715" s="627"/>
      <c r="F715" s="630"/>
      <c r="G715" s="630"/>
      <c r="H715" s="630"/>
      <c r="I715" s="631"/>
      <c r="J715" s="632"/>
      <c r="K715" s="633"/>
      <c r="L715" s="633"/>
      <c r="M715" s="633"/>
      <c r="N715" s="632"/>
      <c r="O715" s="632"/>
      <c r="P715" s="632"/>
      <c r="Q715" s="632"/>
      <c r="R715" s="632"/>
      <c r="S715" s="628"/>
      <c r="T715" s="628"/>
      <c r="U715" s="628"/>
      <c r="V715" s="628"/>
      <c r="W715" s="673"/>
      <c r="X715" s="673"/>
      <c r="Y715" s="673"/>
      <c r="Z715" s="673"/>
    </row>
    <row r="716" spans="1:26" ht="62.25" customHeight="1" x14ac:dyDescent="0.2">
      <c r="A716" s="627"/>
      <c r="B716" s="627"/>
      <c r="C716" s="627"/>
      <c r="D716" s="627"/>
      <c r="E716" s="627"/>
      <c r="F716" s="630"/>
      <c r="G716" s="630"/>
      <c r="H716" s="630"/>
      <c r="I716" s="631"/>
      <c r="J716" s="632"/>
      <c r="K716" s="633"/>
      <c r="L716" s="633"/>
      <c r="M716" s="633"/>
      <c r="N716" s="632"/>
      <c r="O716" s="632"/>
      <c r="P716" s="632"/>
      <c r="Q716" s="632"/>
      <c r="R716" s="632"/>
      <c r="S716" s="628"/>
      <c r="T716" s="628"/>
      <c r="U716" s="628"/>
      <c r="V716" s="628"/>
      <c r="W716" s="673"/>
      <c r="X716" s="673"/>
      <c r="Y716" s="673"/>
      <c r="Z716" s="673"/>
    </row>
    <row r="717" spans="1:26" ht="62.25" customHeight="1" x14ac:dyDescent="0.2">
      <c r="A717" s="627"/>
      <c r="B717" s="627"/>
      <c r="C717" s="627"/>
      <c r="D717" s="627"/>
      <c r="E717" s="627"/>
      <c r="F717" s="630"/>
      <c r="G717" s="630"/>
      <c r="H717" s="630"/>
      <c r="I717" s="631"/>
      <c r="J717" s="632"/>
      <c r="K717" s="633"/>
      <c r="L717" s="633"/>
      <c r="M717" s="633"/>
      <c r="N717" s="632"/>
      <c r="O717" s="632"/>
      <c r="P717" s="632"/>
      <c r="Q717" s="632"/>
      <c r="R717" s="632"/>
      <c r="S717" s="628"/>
      <c r="T717" s="628"/>
      <c r="U717" s="628"/>
      <c r="V717" s="628"/>
      <c r="W717" s="673"/>
      <c r="X717" s="673"/>
      <c r="Y717" s="673"/>
      <c r="Z717" s="673"/>
    </row>
    <row r="718" spans="1:26" ht="62.25" customHeight="1" x14ac:dyDescent="0.2">
      <c r="A718" s="627"/>
      <c r="B718" s="627"/>
      <c r="C718" s="627"/>
      <c r="D718" s="627"/>
      <c r="E718" s="627"/>
      <c r="F718" s="630"/>
      <c r="G718" s="630"/>
      <c r="H718" s="630"/>
      <c r="I718" s="631"/>
      <c r="J718" s="632"/>
      <c r="K718" s="633"/>
      <c r="L718" s="633"/>
      <c r="M718" s="633"/>
      <c r="N718" s="632"/>
      <c r="O718" s="632"/>
      <c r="P718" s="632"/>
      <c r="Q718" s="632"/>
      <c r="R718" s="632"/>
      <c r="S718" s="628"/>
      <c r="T718" s="628"/>
      <c r="U718" s="628"/>
      <c r="V718" s="628"/>
      <c r="W718" s="673"/>
      <c r="X718" s="673"/>
      <c r="Y718" s="673"/>
      <c r="Z718" s="673"/>
    </row>
    <row r="719" spans="1:26" ht="62.25" customHeight="1" x14ac:dyDescent="0.2">
      <c r="A719" s="627"/>
      <c r="B719" s="627"/>
      <c r="C719" s="627"/>
      <c r="D719" s="627"/>
      <c r="E719" s="627"/>
      <c r="F719" s="630"/>
      <c r="G719" s="630"/>
      <c r="H719" s="630"/>
      <c r="I719" s="631"/>
      <c r="J719" s="632"/>
      <c r="K719" s="633"/>
      <c r="L719" s="633"/>
      <c r="M719" s="633"/>
      <c r="N719" s="632"/>
      <c r="O719" s="632"/>
      <c r="P719" s="632"/>
      <c r="Q719" s="632"/>
      <c r="R719" s="632"/>
      <c r="S719" s="628"/>
      <c r="T719" s="628"/>
      <c r="U719" s="628"/>
      <c r="V719" s="628"/>
      <c r="W719" s="673"/>
      <c r="X719" s="673"/>
      <c r="Y719" s="673"/>
      <c r="Z719" s="673"/>
    </row>
    <row r="720" spans="1:26" ht="62.25" customHeight="1" x14ac:dyDescent="0.2">
      <c r="A720" s="627"/>
      <c r="B720" s="627"/>
      <c r="C720" s="627"/>
      <c r="D720" s="627"/>
      <c r="E720" s="627"/>
      <c r="F720" s="630"/>
      <c r="G720" s="630"/>
      <c r="H720" s="630"/>
      <c r="I720" s="631"/>
      <c r="J720" s="632"/>
      <c r="K720" s="633"/>
      <c r="L720" s="633"/>
      <c r="M720" s="633"/>
      <c r="N720" s="632"/>
      <c r="O720" s="632"/>
      <c r="P720" s="632"/>
      <c r="Q720" s="632"/>
      <c r="R720" s="632"/>
      <c r="S720" s="628"/>
      <c r="T720" s="628"/>
      <c r="U720" s="628"/>
      <c r="V720" s="628"/>
      <c r="W720" s="673"/>
      <c r="X720" s="673"/>
      <c r="Y720" s="673"/>
      <c r="Z720" s="673"/>
    </row>
    <row r="721" spans="1:26" ht="62.25" customHeight="1" x14ac:dyDescent="0.2">
      <c r="A721" s="627"/>
      <c r="B721" s="627"/>
      <c r="C721" s="627"/>
      <c r="D721" s="627"/>
      <c r="E721" s="627"/>
      <c r="F721" s="630"/>
      <c r="G721" s="630"/>
      <c r="H721" s="630"/>
      <c r="I721" s="631"/>
      <c r="J721" s="632"/>
      <c r="K721" s="633"/>
      <c r="L721" s="633"/>
      <c r="M721" s="633"/>
      <c r="N721" s="632"/>
      <c r="O721" s="632"/>
      <c r="P721" s="632"/>
      <c r="Q721" s="632"/>
      <c r="R721" s="632"/>
      <c r="S721" s="628"/>
      <c r="T721" s="628"/>
      <c r="U721" s="628"/>
      <c r="V721" s="628"/>
      <c r="W721" s="673"/>
      <c r="X721" s="673"/>
      <c r="Y721" s="673"/>
      <c r="Z721" s="673"/>
    </row>
    <row r="722" spans="1:26" ht="62.25" customHeight="1" x14ac:dyDescent="0.2">
      <c r="A722" s="627"/>
      <c r="B722" s="627"/>
      <c r="C722" s="627"/>
      <c r="D722" s="627"/>
      <c r="E722" s="627"/>
      <c r="F722" s="630"/>
      <c r="G722" s="630"/>
      <c r="H722" s="630"/>
      <c r="I722" s="631"/>
      <c r="J722" s="632"/>
      <c r="K722" s="633"/>
      <c r="L722" s="633"/>
      <c r="M722" s="633"/>
      <c r="N722" s="632"/>
      <c r="O722" s="632"/>
      <c r="P722" s="632"/>
      <c r="Q722" s="632"/>
      <c r="R722" s="632"/>
      <c r="S722" s="628"/>
      <c r="T722" s="628"/>
      <c r="U722" s="628"/>
      <c r="V722" s="628"/>
      <c r="W722" s="673"/>
      <c r="X722" s="673"/>
      <c r="Y722" s="673"/>
      <c r="Z722" s="673"/>
    </row>
    <row r="723" spans="1:26" ht="62.25" customHeight="1" x14ac:dyDescent="0.2">
      <c r="A723" s="627"/>
      <c r="B723" s="627"/>
      <c r="C723" s="627"/>
      <c r="D723" s="627"/>
      <c r="E723" s="627"/>
      <c r="F723" s="630"/>
      <c r="G723" s="630"/>
      <c r="H723" s="630"/>
      <c r="I723" s="631"/>
      <c r="J723" s="632"/>
      <c r="K723" s="633"/>
      <c r="L723" s="633"/>
      <c r="M723" s="633"/>
      <c r="N723" s="632"/>
      <c r="O723" s="632"/>
      <c r="P723" s="632"/>
      <c r="Q723" s="632"/>
      <c r="R723" s="632"/>
      <c r="S723" s="628"/>
      <c r="T723" s="628"/>
      <c r="U723" s="628"/>
      <c r="V723" s="628"/>
      <c r="W723" s="673"/>
      <c r="X723" s="673"/>
      <c r="Y723" s="673"/>
      <c r="Z723" s="673"/>
    </row>
    <row r="724" spans="1:26" ht="62.25" customHeight="1" x14ac:dyDescent="0.2">
      <c r="A724" s="627"/>
      <c r="B724" s="627"/>
      <c r="C724" s="627"/>
      <c r="D724" s="627"/>
      <c r="E724" s="627"/>
      <c r="F724" s="630"/>
      <c r="G724" s="630"/>
      <c r="H724" s="630"/>
      <c r="I724" s="631"/>
      <c r="J724" s="632"/>
      <c r="K724" s="633"/>
      <c r="L724" s="633"/>
      <c r="M724" s="633"/>
      <c r="N724" s="632"/>
      <c r="O724" s="632"/>
      <c r="P724" s="632"/>
      <c r="Q724" s="632"/>
      <c r="R724" s="632"/>
      <c r="S724" s="628"/>
      <c r="T724" s="628"/>
      <c r="U724" s="628"/>
      <c r="V724" s="628"/>
      <c r="W724" s="673"/>
      <c r="X724" s="673"/>
      <c r="Y724" s="673"/>
      <c r="Z724" s="673"/>
    </row>
    <row r="725" spans="1:26" ht="62.25" customHeight="1" x14ac:dyDescent="0.2">
      <c r="A725" s="627"/>
      <c r="B725" s="627"/>
      <c r="C725" s="627"/>
      <c r="D725" s="627"/>
      <c r="E725" s="627"/>
      <c r="F725" s="630"/>
      <c r="G725" s="630"/>
      <c r="H725" s="630"/>
      <c r="I725" s="631"/>
      <c r="J725" s="632"/>
      <c r="K725" s="633"/>
      <c r="L725" s="633"/>
      <c r="M725" s="633"/>
      <c r="N725" s="632"/>
      <c r="O725" s="632"/>
      <c r="P725" s="632"/>
      <c r="Q725" s="632"/>
      <c r="R725" s="632"/>
      <c r="S725" s="628"/>
      <c r="T725" s="628"/>
      <c r="U725" s="628"/>
      <c r="V725" s="628"/>
      <c r="W725" s="673"/>
      <c r="X725" s="673"/>
      <c r="Y725" s="673"/>
      <c r="Z725" s="673"/>
    </row>
    <row r="726" spans="1:26" ht="62.25" customHeight="1" x14ac:dyDescent="0.2">
      <c r="A726" s="627"/>
      <c r="B726" s="627"/>
      <c r="C726" s="627"/>
      <c r="D726" s="627"/>
      <c r="E726" s="627"/>
      <c r="F726" s="630"/>
      <c r="G726" s="630"/>
      <c r="H726" s="630"/>
      <c r="I726" s="631"/>
      <c r="J726" s="632"/>
      <c r="K726" s="633"/>
      <c r="L726" s="633"/>
      <c r="M726" s="633"/>
      <c r="N726" s="632"/>
      <c r="O726" s="632"/>
      <c r="P726" s="632"/>
      <c r="Q726" s="632"/>
      <c r="R726" s="632"/>
      <c r="S726" s="628"/>
      <c r="T726" s="628"/>
      <c r="U726" s="628"/>
      <c r="V726" s="628"/>
      <c r="W726" s="673"/>
      <c r="X726" s="673"/>
      <c r="Y726" s="673"/>
      <c r="Z726" s="673"/>
    </row>
    <row r="727" spans="1:26" ht="62.25" customHeight="1" x14ac:dyDescent="0.2">
      <c r="A727" s="627"/>
      <c r="B727" s="627"/>
      <c r="C727" s="627"/>
      <c r="D727" s="627"/>
      <c r="E727" s="627"/>
      <c r="F727" s="630"/>
      <c r="G727" s="630"/>
      <c r="H727" s="630"/>
      <c r="I727" s="631"/>
      <c r="J727" s="632"/>
      <c r="K727" s="633"/>
      <c r="L727" s="633"/>
      <c r="M727" s="633"/>
      <c r="N727" s="632"/>
      <c r="O727" s="632"/>
      <c r="P727" s="632"/>
      <c r="Q727" s="632"/>
      <c r="R727" s="632"/>
      <c r="S727" s="628"/>
      <c r="T727" s="628"/>
      <c r="U727" s="628"/>
      <c r="V727" s="628"/>
      <c r="W727" s="673"/>
      <c r="X727" s="673"/>
      <c r="Y727" s="673"/>
      <c r="Z727" s="673"/>
    </row>
    <row r="728" spans="1:26" ht="62.25" customHeight="1" x14ac:dyDescent="0.2">
      <c r="A728" s="627"/>
      <c r="B728" s="627"/>
      <c r="C728" s="627"/>
      <c r="D728" s="627"/>
      <c r="E728" s="627"/>
      <c r="F728" s="630"/>
      <c r="G728" s="630"/>
      <c r="H728" s="630"/>
      <c r="I728" s="631"/>
      <c r="J728" s="632"/>
      <c r="K728" s="633"/>
      <c r="L728" s="633"/>
      <c r="M728" s="633"/>
      <c r="N728" s="632"/>
      <c r="O728" s="632"/>
      <c r="P728" s="632"/>
      <c r="Q728" s="632"/>
      <c r="R728" s="632"/>
      <c r="S728" s="628"/>
      <c r="T728" s="628"/>
      <c r="U728" s="628"/>
      <c r="V728" s="628"/>
      <c r="W728" s="673"/>
      <c r="X728" s="673"/>
      <c r="Y728" s="673"/>
      <c r="Z728" s="673"/>
    </row>
    <row r="729" spans="1:26" ht="62.25" customHeight="1" x14ac:dyDescent="0.2">
      <c r="A729" s="627"/>
      <c r="B729" s="627"/>
      <c r="C729" s="627"/>
      <c r="D729" s="627"/>
      <c r="E729" s="627"/>
      <c r="F729" s="630"/>
      <c r="G729" s="630"/>
      <c r="H729" s="630"/>
      <c r="I729" s="631"/>
      <c r="J729" s="632"/>
      <c r="K729" s="633"/>
      <c r="L729" s="633"/>
      <c r="M729" s="633"/>
      <c r="N729" s="632"/>
      <c r="O729" s="632"/>
      <c r="P729" s="632"/>
      <c r="Q729" s="632"/>
      <c r="R729" s="632"/>
      <c r="S729" s="628"/>
      <c r="T729" s="628"/>
      <c r="U729" s="628"/>
      <c r="V729" s="628"/>
      <c r="W729" s="673"/>
      <c r="X729" s="673"/>
      <c r="Y729" s="673"/>
      <c r="Z729" s="673"/>
    </row>
    <row r="730" spans="1:26" ht="62.25" customHeight="1" x14ac:dyDescent="0.2">
      <c r="A730" s="627"/>
      <c r="B730" s="627"/>
      <c r="C730" s="627"/>
      <c r="D730" s="627"/>
      <c r="E730" s="627"/>
      <c r="F730" s="630"/>
      <c r="G730" s="630"/>
      <c r="H730" s="630"/>
      <c r="I730" s="631"/>
      <c r="J730" s="632"/>
      <c r="K730" s="633"/>
      <c r="L730" s="633"/>
      <c r="M730" s="633"/>
      <c r="N730" s="632"/>
      <c r="O730" s="632"/>
      <c r="P730" s="632"/>
      <c r="Q730" s="632"/>
      <c r="R730" s="632"/>
      <c r="S730" s="628"/>
      <c r="T730" s="628"/>
      <c r="U730" s="628"/>
      <c r="V730" s="628"/>
      <c r="W730" s="673"/>
      <c r="X730" s="673"/>
      <c r="Y730" s="673"/>
      <c r="Z730" s="673"/>
    </row>
    <row r="731" spans="1:26" ht="62.25" customHeight="1" x14ac:dyDescent="0.2">
      <c r="A731" s="627"/>
      <c r="B731" s="627"/>
      <c r="C731" s="627"/>
      <c r="D731" s="627"/>
      <c r="E731" s="627"/>
      <c r="F731" s="630"/>
      <c r="G731" s="630"/>
      <c r="H731" s="630"/>
      <c r="I731" s="631"/>
      <c r="J731" s="632"/>
      <c r="K731" s="633"/>
      <c r="L731" s="633"/>
      <c r="M731" s="633"/>
      <c r="N731" s="632"/>
      <c r="O731" s="632"/>
      <c r="P731" s="632"/>
      <c r="Q731" s="632"/>
      <c r="R731" s="632"/>
      <c r="S731" s="628"/>
      <c r="T731" s="628"/>
      <c r="U731" s="628"/>
      <c r="V731" s="628"/>
      <c r="W731" s="673"/>
      <c r="X731" s="673"/>
      <c r="Y731" s="673"/>
      <c r="Z731" s="673"/>
    </row>
    <row r="732" spans="1:26" ht="62.25" customHeight="1" x14ac:dyDescent="0.2">
      <c r="A732" s="627"/>
      <c r="B732" s="627"/>
      <c r="C732" s="627"/>
      <c r="D732" s="627"/>
      <c r="E732" s="627"/>
      <c r="F732" s="630"/>
      <c r="G732" s="630"/>
      <c r="H732" s="630"/>
      <c r="I732" s="631"/>
      <c r="J732" s="632"/>
      <c r="K732" s="633"/>
      <c r="L732" s="633"/>
      <c r="M732" s="633"/>
      <c r="N732" s="632"/>
      <c r="O732" s="632"/>
      <c r="P732" s="632"/>
      <c r="Q732" s="632"/>
      <c r="R732" s="632"/>
      <c r="S732" s="628"/>
      <c r="T732" s="628"/>
      <c r="U732" s="628"/>
      <c r="V732" s="628"/>
      <c r="W732" s="673"/>
      <c r="X732" s="673"/>
      <c r="Y732" s="673"/>
      <c r="Z732" s="673"/>
    </row>
    <row r="733" spans="1:26" ht="62.25" customHeight="1" x14ac:dyDescent="0.2">
      <c r="A733" s="627"/>
      <c r="B733" s="627"/>
      <c r="C733" s="627"/>
      <c r="D733" s="627"/>
      <c r="E733" s="627"/>
      <c r="F733" s="630"/>
      <c r="G733" s="630"/>
      <c r="H733" s="630"/>
      <c r="I733" s="631"/>
      <c r="J733" s="632"/>
      <c r="K733" s="633"/>
      <c r="L733" s="633"/>
      <c r="M733" s="633"/>
      <c r="N733" s="632"/>
      <c r="O733" s="632"/>
      <c r="P733" s="632"/>
      <c r="Q733" s="632"/>
      <c r="R733" s="632"/>
      <c r="S733" s="628"/>
      <c r="T733" s="628"/>
      <c r="U733" s="628"/>
      <c r="V733" s="628"/>
      <c r="W733" s="673"/>
      <c r="X733" s="673"/>
      <c r="Y733" s="673"/>
      <c r="Z733" s="673"/>
    </row>
    <row r="734" spans="1:26" ht="62.25" customHeight="1" x14ac:dyDescent="0.2">
      <c r="A734" s="627"/>
      <c r="B734" s="627"/>
      <c r="C734" s="627"/>
      <c r="D734" s="627"/>
      <c r="E734" s="627"/>
      <c r="F734" s="630"/>
      <c r="G734" s="630"/>
      <c r="H734" s="630"/>
      <c r="I734" s="631"/>
      <c r="J734" s="632"/>
      <c r="K734" s="633"/>
      <c r="L734" s="633"/>
      <c r="M734" s="633"/>
      <c r="N734" s="632"/>
      <c r="O734" s="632"/>
      <c r="P734" s="632"/>
      <c r="Q734" s="632"/>
      <c r="R734" s="632"/>
      <c r="S734" s="628"/>
      <c r="T734" s="628"/>
      <c r="U734" s="628"/>
      <c r="V734" s="628"/>
      <c r="W734" s="673"/>
      <c r="X734" s="673"/>
      <c r="Y734" s="673"/>
      <c r="Z734" s="673"/>
    </row>
    <row r="735" spans="1:26" ht="62.25" customHeight="1" x14ac:dyDescent="0.2">
      <c r="A735" s="627"/>
      <c r="B735" s="627"/>
      <c r="C735" s="627"/>
      <c r="D735" s="627"/>
      <c r="E735" s="627"/>
      <c r="F735" s="630"/>
      <c r="G735" s="630"/>
      <c r="H735" s="630"/>
      <c r="I735" s="631"/>
      <c r="J735" s="632"/>
      <c r="K735" s="633"/>
      <c r="L735" s="633"/>
      <c r="M735" s="633"/>
      <c r="N735" s="632"/>
      <c r="O735" s="632"/>
      <c r="P735" s="632"/>
      <c r="Q735" s="632"/>
      <c r="R735" s="632"/>
      <c r="S735" s="628"/>
      <c r="T735" s="628"/>
      <c r="U735" s="628"/>
      <c r="V735" s="628"/>
      <c r="W735" s="673"/>
      <c r="X735" s="673"/>
      <c r="Y735" s="673"/>
      <c r="Z735" s="673"/>
    </row>
    <row r="736" spans="1:26" ht="62.25" customHeight="1" x14ac:dyDescent="0.2">
      <c r="A736" s="627"/>
      <c r="B736" s="627"/>
      <c r="C736" s="627"/>
      <c r="D736" s="627"/>
      <c r="E736" s="627"/>
      <c r="F736" s="630"/>
      <c r="G736" s="630"/>
      <c r="H736" s="630"/>
      <c r="I736" s="631"/>
      <c r="J736" s="632"/>
      <c r="K736" s="633"/>
      <c r="L736" s="633"/>
      <c r="M736" s="633"/>
      <c r="N736" s="632"/>
      <c r="O736" s="632"/>
      <c r="P736" s="632"/>
      <c r="Q736" s="632"/>
      <c r="R736" s="632"/>
      <c r="S736" s="628"/>
      <c r="T736" s="628"/>
      <c r="U736" s="628"/>
      <c r="V736" s="628"/>
      <c r="W736" s="673"/>
      <c r="X736" s="673"/>
      <c r="Y736" s="673"/>
      <c r="Z736" s="673"/>
    </row>
    <row r="737" spans="1:26" ht="62.25" customHeight="1" x14ac:dyDescent="0.2">
      <c r="A737" s="627"/>
      <c r="B737" s="627"/>
      <c r="C737" s="627"/>
      <c r="D737" s="627"/>
      <c r="E737" s="627"/>
      <c r="F737" s="630"/>
      <c r="G737" s="630"/>
      <c r="H737" s="630"/>
      <c r="I737" s="631"/>
      <c r="J737" s="632"/>
      <c r="K737" s="633"/>
      <c r="L737" s="633"/>
      <c r="M737" s="633"/>
      <c r="N737" s="632"/>
      <c r="O737" s="632"/>
      <c r="P737" s="632"/>
      <c r="Q737" s="632"/>
      <c r="R737" s="632"/>
      <c r="S737" s="628"/>
      <c r="T737" s="628"/>
      <c r="U737" s="628"/>
      <c r="V737" s="628"/>
      <c r="W737" s="673"/>
      <c r="X737" s="673"/>
      <c r="Y737" s="673"/>
      <c r="Z737" s="673"/>
    </row>
    <row r="738" spans="1:26" ht="62.25" customHeight="1" x14ac:dyDescent="0.2">
      <c r="A738" s="627"/>
      <c r="B738" s="627"/>
      <c r="C738" s="627"/>
      <c r="D738" s="627"/>
      <c r="E738" s="627"/>
      <c r="F738" s="630"/>
      <c r="G738" s="630"/>
      <c r="H738" s="630"/>
      <c r="I738" s="631"/>
      <c r="J738" s="632"/>
      <c r="K738" s="633"/>
      <c r="L738" s="633"/>
      <c r="M738" s="633"/>
      <c r="N738" s="632"/>
      <c r="O738" s="632"/>
      <c r="P738" s="632"/>
      <c r="Q738" s="632"/>
      <c r="R738" s="632"/>
      <c r="S738" s="628"/>
      <c r="T738" s="628"/>
      <c r="U738" s="628"/>
      <c r="V738" s="628"/>
      <c r="W738" s="673"/>
      <c r="X738" s="673"/>
      <c r="Y738" s="673"/>
      <c r="Z738" s="673"/>
    </row>
    <row r="739" spans="1:26" ht="62.25" customHeight="1" x14ac:dyDescent="0.2">
      <c r="A739" s="627"/>
      <c r="B739" s="627"/>
      <c r="C739" s="627"/>
      <c r="D739" s="627"/>
      <c r="E739" s="627"/>
      <c r="F739" s="630"/>
      <c r="G739" s="630"/>
      <c r="H739" s="630"/>
      <c r="I739" s="631"/>
      <c r="J739" s="632"/>
      <c r="K739" s="633"/>
      <c r="L739" s="633"/>
      <c r="M739" s="633"/>
      <c r="N739" s="632"/>
      <c r="O739" s="632"/>
      <c r="P739" s="632"/>
      <c r="Q739" s="632"/>
      <c r="R739" s="632"/>
      <c r="S739" s="628"/>
      <c r="T739" s="628"/>
      <c r="U739" s="628"/>
      <c r="V739" s="628"/>
      <c r="W739" s="673"/>
      <c r="X739" s="673"/>
      <c r="Y739" s="673"/>
      <c r="Z739" s="673"/>
    </row>
    <row r="740" spans="1:26" ht="62.25" customHeight="1" x14ac:dyDescent="0.2">
      <c r="A740" s="627"/>
      <c r="B740" s="627"/>
      <c r="C740" s="627"/>
      <c r="D740" s="627"/>
      <c r="E740" s="627"/>
      <c r="F740" s="630"/>
      <c r="G740" s="630"/>
      <c r="H740" s="630"/>
      <c r="I740" s="631"/>
      <c r="J740" s="632"/>
      <c r="K740" s="633"/>
      <c r="L740" s="633"/>
      <c r="M740" s="633"/>
      <c r="N740" s="632"/>
      <c r="O740" s="632"/>
      <c r="P740" s="632"/>
      <c r="Q740" s="632"/>
      <c r="R740" s="632"/>
      <c r="S740" s="628"/>
      <c r="T740" s="628"/>
      <c r="U740" s="628"/>
      <c r="V740" s="628"/>
      <c r="W740" s="673"/>
      <c r="X740" s="673"/>
      <c r="Y740" s="673"/>
      <c r="Z740" s="673"/>
    </row>
    <row r="741" spans="1:26" ht="62.25" customHeight="1" x14ac:dyDescent="0.2">
      <c r="A741" s="627"/>
      <c r="B741" s="627"/>
      <c r="C741" s="627"/>
      <c r="D741" s="627"/>
      <c r="E741" s="627"/>
      <c r="F741" s="630"/>
      <c r="G741" s="630"/>
      <c r="H741" s="630"/>
      <c r="I741" s="631"/>
      <c r="J741" s="632"/>
      <c r="K741" s="633"/>
      <c r="L741" s="633"/>
      <c r="M741" s="633"/>
      <c r="N741" s="632"/>
      <c r="O741" s="632"/>
      <c r="P741" s="632"/>
      <c r="Q741" s="632"/>
      <c r="R741" s="632"/>
      <c r="S741" s="628"/>
      <c r="T741" s="628"/>
      <c r="U741" s="628"/>
      <c r="V741" s="628"/>
      <c r="W741" s="673"/>
      <c r="X741" s="673"/>
      <c r="Y741" s="673"/>
      <c r="Z741" s="673"/>
    </row>
    <row r="742" spans="1:26" ht="62.25" customHeight="1" x14ac:dyDescent="0.2">
      <c r="A742" s="627"/>
      <c r="B742" s="627"/>
      <c r="C742" s="627"/>
      <c r="D742" s="627"/>
      <c r="E742" s="627"/>
      <c r="F742" s="630"/>
      <c r="G742" s="630"/>
      <c r="H742" s="630"/>
      <c r="I742" s="631"/>
      <c r="J742" s="632"/>
      <c r="K742" s="633"/>
      <c r="L742" s="633"/>
      <c r="M742" s="633"/>
      <c r="N742" s="632"/>
      <c r="O742" s="632"/>
      <c r="P742" s="632"/>
      <c r="Q742" s="632"/>
      <c r="R742" s="632"/>
      <c r="S742" s="628"/>
      <c r="T742" s="628"/>
      <c r="U742" s="628"/>
      <c r="V742" s="628"/>
      <c r="W742" s="673"/>
      <c r="X742" s="673"/>
      <c r="Y742" s="673"/>
      <c r="Z742" s="673"/>
    </row>
    <row r="743" spans="1:26" ht="62.25" customHeight="1" x14ac:dyDescent="0.2">
      <c r="A743" s="627"/>
      <c r="B743" s="627"/>
      <c r="C743" s="627"/>
      <c r="D743" s="627"/>
      <c r="E743" s="627"/>
      <c r="F743" s="630"/>
      <c r="G743" s="630"/>
      <c r="H743" s="630"/>
      <c r="I743" s="631"/>
      <c r="J743" s="632"/>
      <c r="K743" s="633"/>
      <c r="L743" s="633"/>
      <c r="M743" s="633"/>
      <c r="N743" s="632"/>
      <c r="O743" s="632"/>
      <c r="P743" s="632"/>
      <c r="Q743" s="632"/>
      <c r="R743" s="632"/>
      <c r="S743" s="628"/>
      <c r="T743" s="628"/>
      <c r="U743" s="628"/>
      <c r="V743" s="628"/>
      <c r="W743" s="673"/>
      <c r="X743" s="673"/>
      <c r="Y743" s="673"/>
      <c r="Z743" s="673"/>
    </row>
    <row r="744" spans="1:26" ht="62.25" customHeight="1" x14ac:dyDescent="0.2">
      <c r="A744" s="627"/>
      <c r="B744" s="627"/>
      <c r="C744" s="627"/>
      <c r="D744" s="627"/>
      <c r="E744" s="627"/>
      <c r="F744" s="630"/>
      <c r="G744" s="630"/>
      <c r="H744" s="630"/>
      <c r="I744" s="631"/>
      <c r="J744" s="632"/>
      <c r="K744" s="633"/>
      <c r="L744" s="633"/>
      <c r="M744" s="633"/>
      <c r="N744" s="632"/>
      <c r="O744" s="632"/>
      <c r="P744" s="632"/>
      <c r="Q744" s="632"/>
      <c r="R744" s="632"/>
      <c r="S744" s="628"/>
      <c r="T744" s="628"/>
      <c r="U744" s="628"/>
      <c r="V744" s="628"/>
      <c r="W744" s="673"/>
      <c r="X744" s="673"/>
      <c r="Y744" s="673"/>
      <c r="Z744" s="673"/>
    </row>
    <row r="745" spans="1:26" ht="62.25" customHeight="1" x14ac:dyDescent="0.2">
      <c r="A745" s="627"/>
      <c r="B745" s="627"/>
      <c r="C745" s="627"/>
      <c r="D745" s="627"/>
      <c r="E745" s="627"/>
      <c r="F745" s="630"/>
      <c r="G745" s="630"/>
      <c r="H745" s="630"/>
      <c r="I745" s="631"/>
      <c r="J745" s="632"/>
      <c r="K745" s="633"/>
      <c r="L745" s="633"/>
      <c r="M745" s="633"/>
      <c r="N745" s="632"/>
      <c r="O745" s="632"/>
      <c r="P745" s="632"/>
      <c r="Q745" s="632"/>
      <c r="R745" s="632"/>
      <c r="S745" s="628"/>
      <c r="T745" s="628"/>
      <c r="U745" s="628"/>
      <c r="V745" s="628"/>
      <c r="W745" s="673"/>
      <c r="X745" s="673"/>
      <c r="Y745" s="673"/>
      <c r="Z745" s="673"/>
    </row>
    <row r="746" spans="1:26" ht="62.25" customHeight="1" x14ac:dyDescent="0.2">
      <c r="A746" s="627"/>
      <c r="B746" s="627"/>
      <c r="C746" s="627"/>
      <c r="D746" s="627"/>
      <c r="E746" s="627"/>
      <c r="F746" s="630"/>
      <c r="G746" s="630"/>
      <c r="H746" s="630"/>
      <c r="I746" s="631"/>
      <c r="J746" s="632"/>
      <c r="K746" s="633"/>
      <c r="L746" s="633"/>
      <c r="M746" s="633"/>
      <c r="N746" s="632"/>
      <c r="O746" s="632"/>
      <c r="P746" s="632"/>
      <c r="Q746" s="628"/>
      <c r="R746" s="628"/>
      <c r="S746" s="628"/>
      <c r="T746" s="628"/>
      <c r="U746" s="628"/>
      <c r="V746" s="628"/>
      <c r="W746" s="673"/>
      <c r="X746" s="673"/>
      <c r="Y746" s="673"/>
      <c r="Z746" s="673"/>
    </row>
    <row r="747" spans="1:26" ht="62.25" customHeight="1" x14ac:dyDescent="0.2">
      <c r="A747" s="627"/>
      <c r="B747" s="627"/>
      <c r="C747" s="627"/>
      <c r="D747" s="627"/>
      <c r="E747" s="627"/>
      <c r="F747" s="630"/>
      <c r="G747" s="630"/>
      <c r="H747" s="630"/>
      <c r="I747" s="631"/>
      <c r="J747" s="632"/>
      <c r="K747" s="633"/>
      <c r="L747" s="633"/>
      <c r="M747" s="633"/>
      <c r="N747" s="632"/>
      <c r="O747" s="632"/>
      <c r="P747" s="632"/>
      <c r="Q747" s="628"/>
      <c r="R747" s="628"/>
      <c r="S747" s="628"/>
      <c r="T747" s="628"/>
      <c r="U747" s="628"/>
      <c r="V747" s="628"/>
      <c r="W747" s="673"/>
      <c r="X747" s="673"/>
      <c r="Y747" s="673"/>
      <c r="Z747" s="673"/>
    </row>
    <row r="748" spans="1:26" ht="62.25" customHeight="1" x14ac:dyDescent="0.2">
      <c r="A748" s="627"/>
      <c r="B748" s="627"/>
      <c r="C748" s="627"/>
      <c r="D748" s="627"/>
      <c r="E748" s="627"/>
      <c r="F748" s="630"/>
      <c r="G748" s="630"/>
      <c r="H748" s="630"/>
      <c r="I748" s="631"/>
      <c r="J748" s="632"/>
      <c r="K748" s="633"/>
      <c r="L748" s="633"/>
      <c r="M748" s="633"/>
      <c r="N748" s="632"/>
      <c r="O748" s="632"/>
      <c r="P748" s="632"/>
      <c r="Q748" s="628"/>
      <c r="R748" s="628"/>
      <c r="S748" s="628"/>
      <c r="T748" s="628"/>
      <c r="U748" s="628"/>
      <c r="V748" s="628"/>
      <c r="W748" s="673"/>
      <c r="X748" s="673"/>
      <c r="Y748" s="673"/>
      <c r="Z748" s="673"/>
    </row>
  </sheetData>
  <autoFilter ref="AA14:AG204"/>
  <mergeCells count="161">
    <mergeCell ref="A191:A203"/>
    <mergeCell ref="B191:B203"/>
    <mergeCell ref="C191:C202"/>
    <mergeCell ref="D191:D202"/>
    <mergeCell ref="E191:E202"/>
    <mergeCell ref="F201:U201"/>
    <mergeCell ref="F202:U202"/>
    <mergeCell ref="C203:U203"/>
    <mergeCell ref="E83:E102"/>
    <mergeCell ref="D83:D102"/>
    <mergeCell ref="C83:C102"/>
    <mergeCell ref="B83:B102"/>
    <mergeCell ref="A83:A102"/>
    <mergeCell ref="F103:F113"/>
    <mergeCell ref="E103:E114"/>
    <mergeCell ref="D103:D115"/>
    <mergeCell ref="C103:C115"/>
    <mergeCell ref="B103:B115"/>
    <mergeCell ref="A103:A115"/>
    <mergeCell ref="B37:B46"/>
    <mergeCell ref="A37:A46"/>
    <mergeCell ref="F47:F55"/>
    <mergeCell ref="E47:E59"/>
    <mergeCell ref="D47:D60"/>
    <mergeCell ref="C47:C60"/>
    <mergeCell ref="B47:B60"/>
    <mergeCell ref="A47:A59"/>
    <mergeCell ref="E61:E75"/>
    <mergeCell ref="A61:A80"/>
    <mergeCell ref="F61:F79"/>
    <mergeCell ref="AH13:AK13"/>
    <mergeCell ref="AA170:AG170"/>
    <mergeCell ref="AH170:AK170"/>
    <mergeCell ref="F56:I56"/>
    <mergeCell ref="E60:V60"/>
    <mergeCell ref="E81:V81"/>
    <mergeCell ref="F135:F162"/>
    <mergeCell ref="G170:G171"/>
    <mergeCell ref="E135:E163"/>
    <mergeCell ref="F163:U163"/>
    <mergeCell ref="A164:U164"/>
    <mergeCell ref="F115:U115"/>
    <mergeCell ref="C61:C81"/>
    <mergeCell ref="C24:C36"/>
    <mergeCell ref="B24:B35"/>
    <mergeCell ref="A24:A36"/>
    <mergeCell ref="F37:F46"/>
    <mergeCell ref="E37:E46"/>
    <mergeCell ref="D37:D46"/>
    <mergeCell ref="C37:C46"/>
    <mergeCell ref="D15:D23"/>
    <mergeCell ref="B61:B81"/>
    <mergeCell ref="F124:F130"/>
    <mergeCell ref="E24:E36"/>
    <mergeCell ref="D24:D36"/>
    <mergeCell ref="E1:W5"/>
    <mergeCell ref="A7:C7"/>
    <mergeCell ref="E7:Z7"/>
    <mergeCell ref="A8:C8"/>
    <mergeCell ref="E8:Z8"/>
    <mergeCell ref="A9:C9"/>
    <mergeCell ref="E9:Z9"/>
    <mergeCell ref="F15:F21"/>
    <mergeCell ref="N13:N14"/>
    <mergeCell ref="C15:C23"/>
    <mergeCell ref="B15:B23"/>
    <mergeCell ref="A15:A23"/>
    <mergeCell ref="E15:E23"/>
    <mergeCell ref="F22:U22"/>
    <mergeCell ref="F24:F35"/>
    <mergeCell ref="A10:C10"/>
    <mergeCell ref="E10:Z10"/>
    <mergeCell ref="E11:Z11"/>
    <mergeCell ref="E12:Z12"/>
    <mergeCell ref="A13:A14"/>
    <mergeCell ref="B13:B14"/>
    <mergeCell ref="C13:C14"/>
    <mergeCell ref="D13:D14"/>
    <mergeCell ref="W13:Z13"/>
    <mergeCell ref="I13:I14"/>
    <mergeCell ref="J13:J14"/>
    <mergeCell ref="O13:O14"/>
    <mergeCell ref="K13:K14"/>
    <mergeCell ref="L13:L14"/>
    <mergeCell ref="M13:M14"/>
    <mergeCell ref="F23:U23"/>
    <mergeCell ref="F83:F102"/>
    <mergeCell ref="F13:F14"/>
    <mergeCell ref="G13:G14"/>
    <mergeCell ref="A167:D167"/>
    <mergeCell ref="C135:C163"/>
    <mergeCell ref="D116:D134"/>
    <mergeCell ref="C180:C190"/>
    <mergeCell ref="B180:B190"/>
    <mergeCell ref="F191:F199"/>
    <mergeCell ref="F172:F179"/>
    <mergeCell ref="E116:E134"/>
    <mergeCell ref="F123:U123"/>
    <mergeCell ref="L170:L171"/>
    <mergeCell ref="M170:M171"/>
    <mergeCell ref="I170:I171"/>
    <mergeCell ref="J170:J171"/>
    <mergeCell ref="K170:K171"/>
    <mergeCell ref="P170:P171"/>
    <mergeCell ref="N170:N171"/>
    <mergeCell ref="G162:U162"/>
    <mergeCell ref="F134:U134"/>
    <mergeCell ref="F131:I131"/>
    <mergeCell ref="F132:I132"/>
    <mergeCell ref="F133:I133"/>
    <mergeCell ref="B135:B163"/>
    <mergeCell ref="A135:A163"/>
    <mergeCell ref="F180:F188"/>
    <mergeCell ref="W170:Z170"/>
    <mergeCell ref="P13:P14"/>
    <mergeCell ref="Q13:U13"/>
    <mergeCell ref="A204:U204"/>
    <mergeCell ref="F190:U190"/>
    <mergeCell ref="Q170:U170"/>
    <mergeCell ref="A169:D169"/>
    <mergeCell ref="E169:Z169"/>
    <mergeCell ref="A165:U165"/>
    <mergeCell ref="A166:D166"/>
    <mergeCell ref="E166:Z166"/>
    <mergeCell ref="F114:U114"/>
    <mergeCell ref="A180:A190"/>
    <mergeCell ref="E167:Z167"/>
    <mergeCell ref="A168:D168"/>
    <mergeCell ref="E168:Z168"/>
    <mergeCell ref="O170:O171"/>
    <mergeCell ref="B172:B179"/>
    <mergeCell ref="A172:A179"/>
    <mergeCell ref="E180:E190"/>
    <mergeCell ref="D180:D190"/>
    <mergeCell ref="C116:C134"/>
    <mergeCell ref="B116:B134"/>
    <mergeCell ref="A116:A134"/>
    <mergeCell ref="A206:F206"/>
    <mergeCell ref="A207:F207"/>
    <mergeCell ref="J207:Q207"/>
    <mergeCell ref="X206:Z206"/>
    <mergeCell ref="X207:Z207"/>
    <mergeCell ref="AA13:AG13"/>
    <mergeCell ref="E172:E179"/>
    <mergeCell ref="D172:D179"/>
    <mergeCell ref="C172:C179"/>
    <mergeCell ref="F80:U80"/>
    <mergeCell ref="A82:U82"/>
    <mergeCell ref="A170:A171"/>
    <mergeCell ref="B170:B171"/>
    <mergeCell ref="C170:C171"/>
    <mergeCell ref="D170:D171"/>
    <mergeCell ref="E170:E171"/>
    <mergeCell ref="F170:F171"/>
    <mergeCell ref="F36:U36"/>
    <mergeCell ref="F59:U59"/>
    <mergeCell ref="F57:F58"/>
    <mergeCell ref="D61:D81"/>
    <mergeCell ref="F116:F122"/>
    <mergeCell ref="D135:D163"/>
    <mergeCell ref="E13:E14"/>
  </mergeCells>
  <dataValidations count="1">
    <dataValidation type="list" allowBlank="1" showInputMessage="1" showErrorMessage="1" sqref="U83:U113 U57:U58 U116:U122 U24:U35 U124:U130 U135:U147 U172:U189 U61:U79 U37:U55 U15:U21 U191:U199 U150:U161">
      <formula1>listas</formula1>
    </dataValidation>
  </dataValidations>
  <hyperlinks>
    <hyperlink ref="P172" r:id="rId1"/>
    <hyperlink ref="P173:P174" r:id="rId2" display="olsanchez@idep.edu.co"/>
    <hyperlink ref="P175" r:id="rId3"/>
    <hyperlink ref="P176" r:id="rId4"/>
    <hyperlink ref="P178" r:id="rId5" display="cplazas@idep.edu.co"/>
    <hyperlink ref="P179" r:id="rId6"/>
    <hyperlink ref="P180" r:id="rId7"/>
    <hyperlink ref="P188" r:id="rId8" display="cplazas@idep.edu.co"/>
    <hyperlink ref="P185" r:id="rId9"/>
    <hyperlink ref="P186" r:id="rId10"/>
    <hyperlink ref="P187" r:id="rId11" display="cplazas@idep.edu.co"/>
    <hyperlink ref="P177" r:id="rId12"/>
    <hyperlink ref="P191" r:id="rId13"/>
    <hyperlink ref="P192" r:id="rId14"/>
    <hyperlink ref="P193" r:id="rId15"/>
    <hyperlink ref="P194" r:id="rId16"/>
    <hyperlink ref="P195" r:id="rId17"/>
    <hyperlink ref="P101" r:id="rId18"/>
    <hyperlink ref="P126" r:id="rId19"/>
    <hyperlink ref="P96" r:id="rId20"/>
    <hyperlink ref="P189" r:id="rId21" display="cplazas@idep.edu.co"/>
    <hyperlink ref="P184" r:id="rId22"/>
    <hyperlink ref="P181" r:id="rId23"/>
    <hyperlink ref="P196" r:id="rId24"/>
    <hyperlink ref="P183" r:id="rId25"/>
    <hyperlink ref="P29" r:id="rId26"/>
    <hyperlink ref="P30" r:id="rId27"/>
    <hyperlink ref="P21" r:id="rId28"/>
    <hyperlink ref="P33" r:id="rId29"/>
    <hyperlink ref="P35" r:id="rId30"/>
    <hyperlink ref="P34" r:id="rId31"/>
    <hyperlink ref="P75" r:id="rId32"/>
    <hyperlink ref="P150" r:id="rId33"/>
    <hyperlink ref="P108" r:id="rId34"/>
    <hyperlink ref="P109" r:id="rId35"/>
    <hyperlink ref="P110" r:id="rId36"/>
    <hyperlink ref="P55" r:id="rId37"/>
    <hyperlink ref="P105" r:id="rId38"/>
    <hyperlink ref="P153" r:id="rId39"/>
    <hyperlink ref="P197" r:id="rId40"/>
    <hyperlink ref="P198" r:id="rId41"/>
    <hyperlink ref="P76" r:id="rId42"/>
    <hyperlink ref="P155" r:id="rId43"/>
    <hyperlink ref="P77" r:id="rId44"/>
    <hyperlink ref="P78" r:id="rId45"/>
    <hyperlink ref="P79" r:id="rId46"/>
    <hyperlink ref="P157" r:id="rId47"/>
    <hyperlink ref="P158" r:id="rId48"/>
    <hyperlink ref="P159" r:id="rId49"/>
    <hyperlink ref="P160" r:id="rId50"/>
    <hyperlink ref="P161" r:id="rId51"/>
  </hyperlinks>
  <printOptions horizontalCentered="1" verticalCentered="1"/>
  <pageMargins left="3.937007874015748E-2" right="0.62992125984251968" top="0.35433070866141736" bottom="0.55118110236220474" header="0" footer="0.31496062992125984"/>
  <pageSetup paperSize="41" scale="60" orientation="landscape" r:id="rId52"/>
  <headerFooter>
    <oddFooter>&amp;LElaboró: Oficina Asesora de Planeación
Martha Cecilia Quintero Barreiro&amp;RPlan de Adquisiciones
Final 2018</oddFooter>
  </headerFooter>
  <rowBreaks count="11" manualBreakCount="11">
    <brk id="23" max="16383" man="1"/>
    <brk id="36" max="16383" man="1"/>
    <brk id="46" max="31" man="1"/>
    <brk id="60" max="16383" man="1"/>
    <brk id="82" max="16383" man="1"/>
    <brk id="100" max="31" man="1"/>
    <brk id="115" max="31" man="1"/>
    <brk id="134" max="31" man="1"/>
    <brk id="165" max="16383" man="1"/>
    <brk id="179" max="31" man="1"/>
    <brk id="207" max="31" man="1"/>
  </rowBreaks>
  <colBreaks count="1" manualBreakCount="1">
    <brk id="37" max="1048575" man="1"/>
  </colBreaks>
  <drawing r:id="rId53"/>
  <legacyDrawing r:id="rId5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15"/>
  <sheetViews>
    <sheetView view="pageBreakPreview" topLeftCell="A10" zoomScale="80" zoomScaleNormal="80" zoomScaleSheetLayoutView="80" workbookViewId="0">
      <selection activeCell="D52" sqref="D52"/>
    </sheetView>
  </sheetViews>
  <sheetFormatPr baseColWidth="10" defaultColWidth="11.42578125" defaultRowHeight="12.75" x14ac:dyDescent="0.2"/>
  <cols>
    <col min="1" max="1" width="18.85546875" style="574" bestFit="1" customWidth="1"/>
    <col min="2" max="2" width="17.7109375" style="574" customWidth="1"/>
    <col min="3" max="3" width="0.140625" style="574" customWidth="1"/>
    <col min="4" max="4" width="64.85546875" style="574" customWidth="1"/>
    <col min="5" max="5" width="12.85546875" style="574" customWidth="1"/>
    <col min="6" max="6" width="22" style="574" customWidth="1"/>
    <col min="7" max="7" width="0.140625" style="574" customWidth="1"/>
    <col min="8" max="8" width="12.28515625" style="574" hidden="1" customWidth="1"/>
    <col min="9" max="9" width="17.42578125" style="574" hidden="1" customWidth="1"/>
    <col min="10" max="10" width="10.5703125" style="574" hidden="1" customWidth="1"/>
    <col min="11" max="11" width="13.85546875" style="574" customWidth="1"/>
    <col min="12" max="12" width="13.140625" style="574" customWidth="1"/>
    <col min="13" max="13" width="7.42578125" style="574" customWidth="1"/>
    <col min="14" max="14" width="8.85546875" style="574" customWidth="1"/>
    <col min="15" max="15" width="14.5703125" style="574" customWidth="1"/>
    <col min="16" max="16" width="0.140625" style="574" customWidth="1"/>
    <col min="17" max="17" width="16" style="700" customWidth="1"/>
    <col min="18" max="18" width="9.28515625" style="700" hidden="1" customWidth="1"/>
    <col min="19" max="19" width="14.140625" style="700" bestFit="1" customWidth="1"/>
    <col min="20" max="20" width="14.42578125" style="700" bestFit="1" customWidth="1"/>
    <col min="21" max="21" width="15.85546875" style="574" bestFit="1" customWidth="1"/>
    <col min="22" max="22" width="19.28515625" style="574" bestFit="1" customWidth="1"/>
    <col min="23" max="23" width="22.85546875" style="574" bestFit="1" customWidth="1"/>
    <col min="24" max="24" width="14.42578125" style="574" bestFit="1" customWidth="1"/>
    <col min="25" max="25" width="12.42578125" style="574" bestFit="1" customWidth="1"/>
    <col min="26" max="26" width="16.42578125" style="574" bestFit="1" customWidth="1"/>
    <col min="27" max="27" width="40.7109375" style="574" bestFit="1" customWidth="1"/>
    <col min="28" max="28" width="14.42578125" style="574" bestFit="1" customWidth="1"/>
    <col min="29" max="29" width="13.5703125" style="574" bestFit="1" customWidth="1"/>
    <col min="30" max="30" width="17.140625" style="574" bestFit="1" customWidth="1"/>
    <col min="31" max="31" width="14.42578125" style="574" bestFit="1" customWidth="1"/>
    <col min="32" max="32" width="19.28515625" style="574" customWidth="1"/>
    <col min="33" max="16384" width="11.42578125" style="574"/>
  </cols>
  <sheetData>
    <row r="1" spans="1:32" x14ac:dyDescent="0.2">
      <c r="A1" s="1436"/>
      <c r="B1" s="1436"/>
      <c r="C1" s="620"/>
      <c r="D1" s="1448" t="s">
        <v>753</v>
      </c>
      <c r="E1" s="1448"/>
      <c r="F1" s="1448"/>
      <c r="G1" s="1448"/>
      <c r="H1" s="1448"/>
      <c r="I1" s="1448"/>
      <c r="J1" s="1448"/>
      <c r="K1" s="1448"/>
      <c r="L1" s="1448"/>
      <c r="M1" s="1448"/>
      <c r="N1" s="1448"/>
      <c r="O1" s="1448"/>
      <c r="P1" s="620"/>
      <c r="Q1" s="1444" t="s">
        <v>601</v>
      </c>
      <c r="R1" s="1444"/>
      <c r="S1" s="1444"/>
      <c r="T1" s="1444"/>
    </row>
    <row r="2" spans="1:32" ht="12" customHeight="1" x14ac:dyDescent="0.2">
      <c r="A2" s="1436"/>
      <c r="B2" s="1436"/>
      <c r="C2" s="621"/>
      <c r="D2" s="1449"/>
      <c r="E2" s="1449"/>
      <c r="F2" s="1449"/>
      <c r="G2" s="1449"/>
      <c r="H2" s="1449"/>
      <c r="I2" s="1449"/>
      <c r="J2" s="1449"/>
      <c r="K2" s="1449"/>
      <c r="L2" s="1449"/>
      <c r="M2" s="1449"/>
      <c r="N2" s="1449"/>
      <c r="O2" s="1449"/>
      <c r="P2" s="621"/>
      <c r="Q2" s="1444" t="s">
        <v>618</v>
      </c>
      <c r="R2" s="1444"/>
      <c r="S2" s="1444"/>
      <c r="T2" s="1444"/>
    </row>
    <row r="3" spans="1:32" x14ac:dyDescent="0.2">
      <c r="A3" s="1436"/>
      <c r="B3" s="1436"/>
      <c r="C3" s="621"/>
      <c r="D3" s="1449"/>
      <c r="E3" s="1449"/>
      <c r="F3" s="1449"/>
      <c r="G3" s="1449"/>
      <c r="H3" s="1449"/>
      <c r="I3" s="1449"/>
      <c r="J3" s="1449"/>
      <c r="K3" s="1449"/>
      <c r="L3" s="1449"/>
      <c r="M3" s="1449"/>
      <c r="N3" s="1449"/>
      <c r="O3" s="1449"/>
      <c r="P3" s="621"/>
      <c r="Q3" s="1444"/>
      <c r="R3" s="1444"/>
      <c r="S3" s="1444"/>
      <c r="T3" s="1444"/>
    </row>
    <row r="4" spans="1:32" hidden="1" x14ac:dyDescent="0.2">
      <c r="A4" s="1436"/>
      <c r="B4" s="1436"/>
      <c r="C4" s="621"/>
      <c r="D4" s="1449"/>
      <c r="E4" s="1449"/>
      <c r="F4" s="1449"/>
      <c r="G4" s="1449"/>
      <c r="H4" s="1449"/>
      <c r="I4" s="1449"/>
      <c r="J4" s="1449"/>
      <c r="K4" s="1449"/>
      <c r="L4" s="1449"/>
      <c r="M4" s="1449"/>
      <c r="N4" s="1449"/>
      <c r="O4" s="1449"/>
      <c r="P4" s="621"/>
      <c r="Q4" s="1444" t="s">
        <v>712</v>
      </c>
      <c r="R4" s="1444"/>
      <c r="S4" s="1444"/>
      <c r="T4" s="1444"/>
    </row>
    <row r="5" spans="1:32" ht="18.75" hidden="1" customHeight="1" x14ac:dyDescent="0.2">
      <c r="A5" s="1436"/>
      <c r="B5" s="1436"/>
      <c r="C5" s="621"/>
      <c r="D5" s="1449"/>
      <c r="E5" s="1449"/>
      <c r="F5" s="1449"/>
      <c r="G5" s="1449"/>
      <c r="H5" s="1449"/>
      <c r="I5" s="1449"/>
      <c r="J5" s="1449"/>
      <c r="K5" s="1449"/>
      <c r="L5" s="1449"/>
      <c r="M5" s="1449"/>
      <c r="N5" s="1449"/>
      <c r="O5" s="1449"/>
      <c r="P5" s="621"/>
      <c r="Q5" s="1445" t="s">
        <v>713</v>
      </c>
      <c r="R5" s="1446"/>
      <c r="S5" s="1446"/>
      <c r="T5" s="1447"/>
    </row>
    <row r="6" spans="1:32" hidden="1" x14ac:dyDescent="0.2">
      <c r="A6" s="1437" t="s">
        <v>602</v>
      </c>
      <c r="B6" s="1438"/>
      <c r="C6" s="715"/>
      <c r="D6" s="1443">
        <v>2018</v>
      </c>
      <c r="E6" s="1443"/>
      <c r="F6" s="1443"/>
      <c r="G6" s="1443"/>
      <c r="H6" s="1443"/>
      <c r="I6" s="1443"/>
      <c r="J6" s="1443"/>
      <c r="K6" s="1443"/>
      <c r="L6" s="1443"/>
      <c r="M6" s="1443"/>
      <c r="N6" s="1443"/>
      <c r="O6" s="1443"/>
      <c r="P6" s="1443"/>
      <c r="Q6" s="1443"/>
      <c r="R6" s="1443"/>
      <c r="S6" s="1443"/>
      <c r="T6" s="1443"/>
    </row>
    <row r="7" spans="1:32" ht="15.75" customHeight="1" x14ac:dyDescent="0.2">
      <c r="A7" s="1442" t="s">
        <v>603</v>
      </c>
      <c r="B7" s="1442" t="s">
        <v>604</v>
      </c>
      <c r="C7" s="1460" t="s">
        <v>15</v>
      </c>
      <c r="D7" s="1442" t="s">
        <v>619</v>
      </c>
      <c r="E7" s="1440" t="s">
        <v>599</v>
      </c>
      <c r="F7" s="1440" t="s">
        <v>600</v>
      </c>
      <c r="G7" s="1442" t="s">
        <v>607</v>
      </c>
      <c r="H7" s="1442" t="s">
        <v>546</v>
      </c>
      <c r="I7" s="1439" t="s">
        <v>786</v>
      </c>
      <c r="J7" s="1442" t="s">
        <v>773</v>
      </c>
      <c r="K7" s="1472" t="s">
        <v>528</v>
      </c>
      <c r="L7" s="1473"/>
      <c r="M7" s="1473"/>
      <c r="N7" s="1473"/>
      <c r="O7" s="1473"/>
      <c r="P7" s="579"/>
      <c r="Q7" s="1450" t="s">
        <v>613</v>
      </c>
      <c r="R7" s="1451"/>
      <c r="S7" s="1451"/>
      <c r="T7" s="1452"/>
      <c r="U7" s="1318" t="str">
        <f>+' INVERSIÓN'!AA13</f>
        <v xml:space="preserve">Seguimiento a 31 de Diciembre de 2018  </v>
      </c>
      <c r="V7" s="1319"/>
      <c r="W7" s="1319"/>
      <c r="X7" s="1319"/>
      <c r="Y7" s="1319"/>
      <c r="Z7" s="1319"/>
      <c r="AA7" s="1320"/>
      <c r="AB7" s="1318" t="s">
        <v>870</v>
      </c>
      <c r="AC7" s="1319"/>
      <c r="AD7" s="1319"/>
      <c r="AE7" s="1320"/>
    </row>
    <row r="8" spans="1:32" ht="68.25" customHeight="1" x14ac:dyDescent="0.2">
      <c r="A8" s="1442"/>
      <c r="B8" s="1442"/>
      <c r="C8" s="1460"/>
      <c r="D8" s="1442"/>
      <c r="E8" s="1441"/>
      <c r="F8" s="1441"/>
      <c r="G8" s="1442"/>
      <c r="H8" s="1442"/>
      <c r="I8" s="1439"/>
      <c r="J8" s="1442"/>
      <c r="K8" s="615" t="s">
        <v>583</v>
      </c>
      <c r="L8" s="615" t="s">
        <v>614</v>
      </c>
      <c r="M8" s="615" t="s">
        <v>584</v>
      </c>
      <c r="N8" s="615" t="s">
        <v>585</v>
      </c>
      <c r="O8" s="580" t="s">
        <v>586</v>
      </c>
      <c r="P8" s="580" t="s">
        <v>609</v>
      </c>
      <c r="Q8" s="686" t="s">
        <v>615</v>
      </c>
      <c r="R8" s="687" t="s">
        <v>616</v>
      </c>
      <c r="S8" s="687" t="s">
        <v>617</v>
      </c>
      <c r="T8" s="688" t="s">
        <v>6</v>
      </c>
      <c r="U8" s="763" t="s">
        <v>481</v>
      </c>
      <c r="V8" s="764" t="s">
        <v>480</v>
      </c>
      <c r="W8" s="764" t="s">
        <v>875</v>
      </c>
      <c r="X8" s="772" t="s">
        <v>6</v>
      </c>
      <c r="Y8" s="773" t="s">
        <v>479</v>
      </c>
      <c r="Z8" s="774" t="s">
        <v>478</v>
      </c>
      <c r="AA8" s="774" t="s">
        <v>477</v>
      </c>
      <c r="AB8" s="763" t="s">
        <v>481</v>
      </c>
      <c r="AC8" s="764" t="s">
        <v>480</v>
      </c>
      <c r="AD8" s="764" t="s">
        <v>875</v>
      </c>
      <c r="AE8" s="772" t="s">
        <v>6</v>
      </c>
    </row>
    <row r="9" spans="1:32" ht="56.25" customHeight="1" x14ac:dyDescent="0.2">
      <c r="A9" s="1453">
        <v>120101</v>
      </c>
      <c r="B9" s="1461" t="s">
        <v>623</v>
      </c>
      <c r="C9" s="714">
        <v>6</v>
      </c>
      <c r="D9" s="552" t="s">
        <v>620</v>
      </c>
      <c r="E9" s="1149">
        <v>93141506</v>
      </c>
      <c r="F9" s="1043" t="s">
        <v>621</v>
      </c>
      <c r="G9" s="551" t="s">
        <v>622</v>
      </c>
      <c r="H9" s="725">
        <v>10106</v>
      </c>
      <c r="I9" s="597" t="s">
        <v>830</v>
      </c>
      <c r="J9" s="725" t="s">
        <v>832</v>
      </c>
      <c r="K9" s="554" t="s">
        <v>97</v>
      </c>
      <c r="L9" s="554" t="s">
        <v>549</v>
      </c>
      <c r="M9" s="572">
        <v>3</v>
      </c>
      <c r="N9" s="592">
        <v>1</v>
      </c>
      <c r="O9" s="1149" t="s">
        <v>597</v>
      </c>
      <c r="P9" s="717" t="str">
        <f>IF(O9=listas!$C$1,listas!$B$1,IF(O9=listas!$C$2,listas!$B$2,IF(O9=listas!$C$3,listas!$B$3,IF(O9=listas!$C$4,listas!$B$4,IF(O9=listas!$C$5,listas!$B$5,IF(O9=listas!$C$6,listas!$B$6,IF(O9=listas!$C$7,listas!$B$7,IF(O9=listas!$C$8,listas!$B$8,""))))))))</f>
        <v>CCE-10</v>
      </c>
      <c r="Q9" s="689">
        <f>2909985</f>
        <v>2909985</v>
      </c>
      <c r="R9" s="689"/>
      <c r="S9" s="689"/>
      <c r="T9" s="689">
        <f>SUM(Q9:S9)</f>
        <v>2909985</v>
      </c>
      <c r="U9" s="689">
        <v>2909985</v>
      </c>
      <c r="V9" s="689"/>
      <c r="W9" s="689"/>
      <c r="X9" s="689">
        <f>+U9+V9+W9</f>
        <v>2909985</v>
      </c>
      <c r="Y9" s="766">
        <v>43236</v>
      </c>
      <c r="Z9" s="813">
        <v>73</v>
      </c>
      <c r="AA9" s="689" t="s">
        <v>975</v>
      </c>
      <c r="AB9" s="689"/>
      <c r="AC9" s="689"/>
      <c r="AD9" s="689"/>
      <c r="AE9" s="689"/>
    </row>
    <row r="10" spans="1:32" ht="13.5" customHeight="1" x14ac:dyDescent="0.2">
      <c r="A10" s="1453"/>
      <c r="B10" s="1461"/>
      <c r="C10" s="876"/>
      <c r="D10" s="887" t="s">
        <v>980</v>
      </c>
      <c r="E10" s="1149"/>
      <c r="F10" s="1149"/>
      <c r="G10" s="551"/>
      <c r="H10" s="725"/>
      <c r="I10" s="597"/>
      <c r="J10" s="725"/>
      <c r="K10" s="554"/>
      <c r="L10" s="554"/>
      <c r="M10" s="572"/>
      <c r="N10" s="592"/>
      <c r="O10" s="1149"/>
      <c r="P10" s="717"/>
      <c r="Q10" s="689">
        <f>3000000-U9</f>
        <v>90015</v>
      </c>
      <c r="R10" s="689"/>
      <c r="S10" s="689"/>
      <c r="T10" s="689">
        <f>+Q10+R10+S10</f>
        <v>90015</v>
      </c>
      <c r="U10" s="689"/>
      <c r="V10" s="689"/>
      <c r="W10" s="689"/>
      <c r="X10" s="689"/>
      <c r="Y10" s="689"/>
      <c r="Z10" s="813"/>
      <c r="AA10" s="689"/>
      <c r="AB10" s="689"/>
      <c r="AC10" s="689"/>
      <c r="AD10" s="689"/>
      <c r="AE10" s="689"/>
    </row>
    <row r="11" spans="1:32" ht="21" customHeight="1" x14ac:dyDescent="0.2">
      <c r="A11" s="1453"/>
      <c r="B11" s="1461"/>
      <c r="C11" s="1468" t="s">
        <v>500</v>
      </c>
      <c r="D11" s="1469"/>
      <c r="E11" s="1469"/>
      <c r="F11" s="1469"/>
      <c r="G11" s="1469"/>
      <c r="H11" s="1469"/>
      <c r="I11" s="1469"/>
      <c r="J11" s="1469"/>
      <c r="K11" s="1469"/>
      <c r="L11" s="1469"/>
      <c r="M11" s="1469"/>
      <c r="N11" s="1469"/>
      <c r="O11" s="1470"/>
      <c r="P11" s="616"/>
      <c r="Q11" s="690">
        <f>+Q9+Q10</f>
        <v>3000000</v>
      </c>
      <c r="R11" s="690"/>
      <c r="S11" s="690"/>
      <c r="T11" s="690">
        <f>+T9+T10</f>
        <v>3000000</v>
      </c>
      <c r="U11" s="765">
        <f>SUM(U9:U9)</f>
        <v>2909985</v>
      </c>
      <c r="V11" s="765"/>
      <c r="W11" s="765"/>
      <c r="X11" s="765">
        <f>SUM(X9:X9)</f>
        <v>2909985</v>
      </c>
      <c r="Y11" s="690"/>
      <c r="Z11" s="1127"/>
      <c r="AA11" s="690"/>
      <c r="AB11" s="765">
        <v>2909985</v>
      </c>
      <c r="AC11" s="765"/>
      <c r="AD11" s="765"/>
      <c r="AE11" s="765">
        <f>+AB11+AC11+AD11</f>
        <v>2909985</v>
      </c>
    </row>
    <row r="12" spans="1:32" ht="45" customHeight="1" x14ac:dyDescent="0.2">
      <c r="A12" s="1454">
        <v>3120102</v>
      </c>
      <c r="B12" s="1462" t="s">
        <v>630</v>
      </c>
      <c r="C12" s="734">
        <v>7</v>
      </c>
      <c r="D12" s="588" t="s">
        <v>631</v>
      </c>
      <c r="E12" s="576">
        <v>81111811</v>
      </c>
      <c r="F12" s="545" t="s">
        <v>502</v>
      </c>
      <c r="G12" s="577" t="s">
        <v>556</v>
      </c>
      <c r="H12" s="725">
        <v>20102</v>
      </c>
      <c r="I12" s="597" t="s">
        <v>819</v>
      </c>
      <c r="J12" s="725" t="s">
        <v>833</v>
      </c>
      <c r="K12" s="571" t="s">
        <v>551</v>
      </c>
      <c r="L12" s="571" t="s">
        <v>551</v>
      </c>
      <c r="M12" s="942">
        <v>5</v>
      </c>
      <c r="N12" s="592">
        <v>1</v>
      </c>
      <c r="O12" s="885" t="s">
        <v>1134</v>
      </c>
      <c r="P12" s="717" t="s">
        <v>595</v>
      </c>
      <c r="Q12" s="691">
        <f>2766928+243000+6500000+4004664</f>
        <v>13514592</v>
      </c>
      <c r="R12" s="689"/>
      <c r="S12" s="689"/>
      <c r="T12" s="1056">
        <f t="shared" ref="T12:T34" si="0">+Q12+R12+S12</f>
        <v>13514592</v>
      </c>
      <c r="U12" s="691">
        <v>13514592</v>
      </c>
      <c r="V12" s="689"/>
      <c r="W12" s="689"/>
      <c r="X12" s="689">
        <f>+U12+V12+W12</f>
        <v>13514592</v>
      </c>
      <c r="Y12" s="766">
        <v>43447</v>
      </c>
      <c r="Z12" s="813">
        <v>133</v>
      </c>
      <c r="AA12" s="689" t="s">
        <v>1176</v>
      </c>
      <c r="AB12" s="689"/>
      <c r="AC12" s="689"/>
      <c r="AD12" s="689"/>
      <c r="AE12" s="689"/>
      <c r="AF12" s="719"/>
    </row>
    <row r="13" spans="1:32" ht="0.75" customHeight="1" x14ac:dyDescent="0.2">
      <c r="A13" s="1455"/>
      <c r="B13" s="1463"/>
      <c r="C13" s="1089">
        <v>16</v>
      </c>
      <c r="D13" s="588" t="s">
        <v>1149</v>
      </c>
      <c r="E13" s="576">
        <v>8111507</v>
      </c>
      <c r="F13" s="545" t="s">
        <v>502</v>
      </c>
      <c r="G13" s="577" t="s">
        <v>556</v>
      </c>
      <c r="H13" s="725">
        <v>20103</v>
      </c>
      <c r="I13" s="597" t="s">
        <v>819</v>
      </c>
      <c r="J13" s="889" t="s">
        <v>1150</v>
      </c>
      <c r="K13" s="571" t="s">
        <v>552</v>
      </c>
      <c r="L13" s="571" t="s">
        <v>552</v>
      </c>
      <c r="M13" s="942">
        <v>12</v>
      </c>
      <c r="N13" s="592">
        <v>1</v>
      </c>
      <c r="O13" s="1089" t="s">
        <v>1151</v>
      </c>
      <c r="P13" s="717" t="s">
        <v>596</v>
      </c>
      <c r="Q13" s="1123">
        <f>15400000-15400000</f>
        <v>0</v>
      </c>
      <c r="R13" s="689"/>
      <c r="S13" s="689"/>
      <c r="T13" s="1056">
        <f>+Q13+S13</f>
        <v>0</v>
      </c>
      <c r="U13" s="691"/>
      <c r="V13" s="689"/>
      <c r="W13" s="689"/>
      <c r="X13" s="689"/>
      <c r="Y13" s="766"/>
      <c r="Z13" s="813"/>
      <c r="AA13" s="689"/>
      <c r="AB13" s="689"/>
      <c r="AC13" s="689"/>
      <c r="AD13" s="689"/>
      <c r="AE13" s="689"/>
    </row>
    <row r="14" spans="1:32" ht="0.75" customHeight="1" x14ac:dyDescent="0.2">
      <c r="A14" s="1455"/>
      <c r="B14" s="1463"/>
      <c r="C14" s="1090"/>
      <c r="D14" s="1117" t="s">
        <v>1161</v>
      </c>
      <c r="E14" s="1118"/>
      <c r="F14" s="1119"/>
      <c r="G14" s="1120"/>
      <c r="H14" s="1111"/>
      <c r="I14" s="1097"/>
      <c r="J14" s="1121"/>
      <c r="K14" s="1112"/>
      <c r="L14" s="1112"/>
      <c r="M14" s="1122"/>
      <c r="N14" s="1114"/>
      <c r="O14" s="1098"/>
      <c r="P14" s="1099"/>
      <c r="Q14" s="691"/>
      <c r="R14" s="899"/>
      <c r="S14" s="899"/>
      <c r="T14" s="899"/>
      <c r="U14" s="691"/>
      <c r="V14" s="689"/>
      <c r="W14" s="689"/>
      <c r="X14" s="689"/>
      <c r="Y14" s="766"/>
      <c r="Z14" s="813"/>
      <c r="AA14" s="689"/>
      <c r="AB14" s="689"/>
      <c r="AC14" s="689"/>
      <c r="AD14" s="689"/>
      <c r="AE14" s="689"/>
    </row>
    <row r="15" spans="1:32" ht="39" customHeight="1" x14ac:dyDescent="0.2">
      <c r="A15" s="1455"/>
      <c r="B15" s="1463"/>
      <c r="C15" s="734">
        <v>153</v>
      </c>
      <c r="D15" s="588" t="s">
        <v>965</v>
      </c>
      <c r="E15" s="576">
        <v>81111811</v>
      </c>
      <c r="F15" s="545" t="s">
        <v>502</v>
      </c>
      <c r="G15" s="577" t="s">
        <v>556</v>
      </c>
      <c r="H15" s="725">
        <v>10106</v>
      </c>
      <c r="I15" s="597" t="s">
        <v>830</v>
      </c>
      <c r="J15" s="725" t="s">
        <v>833</v>
      </c>
      <c r="K15" s="571" t="s">
        <v>104</v>
      </c>
      <c r="L15" s="571" t="s">
        <v>104</v>
      </c>
      <c r="M15" s="743">
        <v>3</v>
      </c>
      <c r="N15" s="592">
        <v>1</v>
      </c>
      <c r="O15" s="885" t="s">
        <v>611</v>
      </c>
      <c r="P15" s="717" t="str">
        <f>IF(O15=listas!$C$1,listas!$B$1,IF(O15=listas!$C$2,listas!$B$2,IF(O15=listas!$C$3,listas!$B$3,IF(O15=listas!$C$4,listas!$B$4,IF(O15=listas!$C$5,listas!$B$5,IF(O15=listas!$C$6,listas!$B$6,IF(O15=listas!$C$7,listas!$B$7,IF(O15=listas!$C$8,listas!$B$8,""))))))))</f>
        <v/>
      </c>
      <c r="Q15" s="691">
        <f>9587670-1638481</f>
        <v>7949189</v>
      </c>
      <c r="R15" s="689"/>
      <c r="S15" s="689"/>
      <c r="T15" s="1056">
        <f t="shared" si="0"/>
        <v>7949189</v>
      </c>
      <c r="U15" s="691">
        <v>7949189</v>
      </c>
      <c r="V15" s="689"/>
      <c r="W15" s="689"/>
      <c r="X15" s="689">
        <f>+U15+V15+W15</f>
        <v>7949189</v>
      </c>
      <c r="Y15" s="766">
        <v>43185</v>
      </c>
      <c r="Z15" s="813" t="s">
        <v>967</v>
      </c>
      <c r="AA15" s="689" t="s">
        <v>966</v>
      </c>
      <c r="AB15" s="689"/>
      <c r="AC15" s="689"/>
      <c r="AD15" s="689"/>
      <c r="AE15" s="689"/>
    </row>
    <row r="16" spans="1:32" ht="39" customHeight="1" x14ac:dyDescent="0.2">
      <c r="A16" s="1455"/>
      <c r="B16" s="1463"/>
      <c r="C16" s="734">
        <v>154</v>
      </c>
      <c r="D16" s="588" t="s">
        <v>964</v>
      </c>
      <c r="E16" s="576">
        <v>81111811</v>
      </c>
      <c r="F16" s="545" t="s">
        <v>502</v>
      </c>
      <c r="G16" s="577" t="s">
        <v>556</v>
      </c>
      <c r="H16" s="725">
        <v>10106</v>
      </c>
      <c r="I16" s="597" t="s">
        <v>830</v>
      </c>
      <c r="J16" s="725" t="s">
        <v>833</v>
      </c>
      <c r="K16" s="571" t="s">
        <v>551</v>
      </c>
      <c r="L16" s="571" t="s">
        <v>551</v>
      </c>
      <c r="M16" s="743">
        <v>5</v>
      </c>
      <c r="N16" s="592">
        <v>1</v>
      </c>
      <c r="O16" s="885" t="s">
        <v>611</v>
      </c>
      <c r="P16" s="717" t="str">
        <f>IF(O16=listas!$C$1,listas!$B$1,IF(O16=listas!$C$2,listas!$B$2,IF(O16=listas!$C$3,listas!$B$3,IF(O16=listas!$C$4,listas!$B$4,IF(O16=listas!$C$5,listas!$B$5,IF(O16=listas!$C$6,listas!$B$6,IF(O16=listas!$C$7,listas!$B$7,IF(O16=listas!$C$8,listas!$B$8,""))))))))</f>
        <v/>
      </c>
      <c r="Q16" s="691">
        <f>9587671.2+1638480-4336853</f>
        <v>6889298.1999999993</v>
      </c>
      <c r="R16" s="689"/>
      <c r="S16" s="689"/>
      <c r="T16" s="1056">
        <f t="shared" si="0"/>
        <v>6889298.1999999993</v>
      </c>
      <c r="U16" s="691">
        <v>6889298</v>
      </c>
      <c r="V16" s="689"/>
      <c r="W16" s="689"/>
      <c r="X16" s="689">
        <v>6889298</v>
      </c>
      <c r="Y16" s="766">
        <v>43391</v>
      </c>
      <c r="Z16" s="813">
        <v>123</v>
      </c>
      <c r="AA16" s="689" t="s">
        <v>966</v>
      </c>
      <c r="AB16" s="689"/>
      <c r="AC16" s="689"/>
      <c r="AD16" s="689"/>
      <c r="AE16" s="689"/>
    </row>
    <row r="17" spans="1:32" ht="51.75" customHeight="1" x14ac:dyDescent="0.2">
      <c r="A17" s="1455"/>
      <c r="B17" s="1463"/>
      <c r="C17" s="734">
        <v>135</v>
      </c>
      <c r="D17" s="588" t="s">
        <v>632</v>
      </c>
      <c r="E17" s="576">
        <v>81112500</v>
      </c>
      <c r="F17" s="545" t="s">
        <v>502</v>
      </c>
      <c r="G17" s="577" t="s">
        <v>556</v>
      </c>
      <c r="H17" s="725">
        <v>20102</v>
      </c>
      <c r="I17" s="597" t="s">
        <v>819</v>
      </c>
      <c r="J17" s="725" t="s">
        <v>834</v>
      </c>
      <c r="K17" s="571" t="s">
        <v>548</v>
      </c>
      <c r="L17" s="571" t="s">
        <v>548</v>
      </c>
      <c r="M17" s="743">
        <v>360</v>
      </c>
      <c r="N17" s="592">
        <v>0</v>
      </c>
      <c r="O17" s="885" t="s">
        <v>611</v>
      </c>
      <c r="P17" s="717" t="str">
        <f>IF(O17=listas!$C$1,listas!$B$1,IF(O17=listas!$C$2,listas!$B$2,IF(O17=listas!$C$3,listas!$B$3,IF(O17=listas!$C$4,listas!$B$4,IF(O17=listas!$C$5,listas!$B$5,IF(O17=listas!$C$6,listas!$B$6,IF(O17=listas!$C$7,listas!$B$7,IF(O17=listas!$C$8,listas!$B$8,""))))))))</f>
        <v/>
      </c>
      <c r="Q17" s="691">
        <f>8068022-114711</f>
        <v>7953311</v>
      </c>
      <c r="R17" s="689"/>
      <c r="S17" s="689"/>
      <c r="T17" s="1056">
        <f t="shared" si="0"/>
        <v>7953311</v>
      </c>
      <c r="U17" s="691">
        <f>8068022-114711</f>
        <v>7953311</v>
      </c>
      <c r="V17" s="689"/>
      <c r="W17" s="689"/>
      <c r="X17" s="689">
        <f t="shared" ref="X17" si="1">+U17+V17+W17</f>
        <v>7953311</v>
      </c>
      <c r="Y17" s="766">
        <v>43122</v>
      </c>
      <c r="Z17" s="813">
        <v>43</v>
      </c>
      <c r="AA17" s="689" t="s">
        <v>880</v>
      </c>
      <c r="AB17" s="689"/>
      <c r="AC17" s="689"/>
      <c r="AD17" s="689"/>
      <c r="AE17" s="689"/>
    </row>
    <row r="18" spans="1:32" ht="28.5" customHeight="1" x14ac:dyDescent="0.2">
      <c r="A18" s="1455"/>
      <c r="B18" s="1463"/>
      <c r="C18" s="841">
        <v>156</v>
      </c>
      <c r="D18" s="588" t="s">
        <v>633</v>
      </c>
      <c r="E18" s="576">
        <v>81112500</v>
      </c>
      <c r="F18" s="545" t="s">
        <v>502</v>
      </c>
      <c r="G18" s="577" t="s">
        <v>556</v>
      </c>
      <c r="H18" s="725">
        <v>20102</v>
      </c>
      <c r="I18" s="597" t="s">
        <v>819</v>
      </c>
      <c r="J18" s="725" t="s">
        <v>775</v>
      </c>
      <c r="K18" s="571" t="s">
        <v>97</v>
      </c>
      <c r="L18" s="571" t="s">
        <v>97</v>
      </c>
      <c r="M18" s="743">
        <v>360</v>
      </c>
      <c r="N18" s="592">
        <v>0</v>
      </c>
      <c r="O18" s="885" t="s">
        <v>597</v>
      </c>
      <c r="P18" s="717" t="str">
        <f>IF(O18=listas!$C$1,listas!$B$1,IF(O18=listas!$C$2,listas!$B$2,IF(O18=listas!$C$3,listas!$B$3,IF(O18=listas!$C$4,listas!$B$4,IF(O18=listas!$C$5,listas!$B$5,IF(O18=listas!$C$6,listas!$B$6,IF(O18=listas!$C$7,listas!$B$7,IF(O18=listas!$C$8,listas!$B$8,""))))))))</f>
        <v>CCE-10</v>
      </c>
      <c r="Q18" s="691">
        <v>21823664</v>
      </c>
      <c r="R18" s="689"/>
      <c r="S18" s="689"/>
      <c r="T18" s="1056">
        <f t="shared" si="0"/>
        <v>21823664</v>
      </c>
      <c r="U18" s="691">
        <v>21823664</v>
      </c>
      <c r="V18" s="689"/>
      <c r="W18" s="689"/>
      <c r="X18" s="689">
        <f>+U18+V18+W18</f>
        <v>21823664</v>
      </c>
      <c r="Y18" s="860">
        <v>43206</v>
      </c>
      <c r="Z18" s="813">
        <v>71</v>
      </c>
      <c r="AA18" s="689" t="s">
        <v>969</v>
      </c>
      <c r="AB18" s="689"/>
      <c r="AC18" s="689"/>
      <c r="AD18" s="689"/>
      <c r="AE18" s="689"/>
    </row>
    <row r="19" spans="1:32" ht="13.5" customHeight="1" x14ac:dyDescent="0.2">
      <c r="A19" s="1455"/>
      <c r="B19" s="1463"/>
      <c r="C19" s="879"/>
      <c r="D19" s="588" t="s">
        <v>993</v>
      </c>
      <c r="E19" s="576"/>
      <c r="F19" s="545"/>
      <c r="G19" s="577"/>
      <c r="H19" s="725"/>
      <c r="I19" s="597"/>
      <c r="J19" s="725"/>
      <c r="K19" s="571"/>
      <c r="L19" s="571"/>
      <c r="M19" s="743"/>
      <c r="N19" s="592"/>
      <c r="O19" s="885"/>
      <c r="P19" s="717"/>
      <c r="Q19" s="691">
        <f>21985560-U18-161896</f>
        <v>0</v>
      </c>
      <c r="R19" s="689"/>
      <c r="S19" s="689"/>
      <c r="T19" s="689">
        <f>+Q19+R19+S19</f>
        <v>0</v>
      </c>
      <c r="U19" s="691"/>
      <c r="V19" s="689"/>
      <c r="W19" s="689"/>
      <c r="X19" s="689"/>
      <c r="Y19" s="860"/>
      <c r="Z19" s="813"/>
      <c r="AA19" s="689"/>
      <c r="AB19" s="689"/>
      <c r="AC19" s="689"/>
      <c r="AD19" s="689"/>
      <c r="AE19" s="689"/>
    </row>
    <row r="20" spans="1:32" ht="6" customHeight="1" x14ac:dyDescent="0.2">
      <c r="A20" s="1455"/>
      <c r="B20" s="1463"/>
      <c r="C20" s="734">
        <v>12</v>
      </c>
      <c r="D20" s="1015" t="s">
        <v>634</v>
      </c>
      <c r="E20" s="576" t="s">
        <v>699</v>
      </c>
      <c r="F20" s="545" t="s">
        <v>502</v>
      </c>
      <c r="G20" s="577" t="s">
        <v>556</v>
      </c>
      <c r="H20" s="725">
        <v>20102</v>
      </c>
      <c r="I20" s="597" t="s">
        <v>819</v>
      </c>
      <c r="J20" s="725" t="s">
        <v>775</v>
      </c>
      <c r="K20" s="571" t="s">
        <v>553</v>
      </c>
      <c r="L20" s="571" t="s">
        <v>553</v>
      </c>
      <c r="M20" s="572">
        <v>12</v>
      </c>
      <c r="N20" s="592">
        <v>1</v>
      </c>
      <c r="O20" s="885" t="s">
        <v>597</v>
      </c>
      <c r="P20" s="717" t="str">
        <f>IF(O20=listas!$C$1,listas!$B$1,IF(O20=listas!$C$2,listas!$B$2,IF(O20=listas!$C$3,listas!$B$3,IF(O20=listas!$C$4,listas!$B$4,IF(O20=listas!$C$5,listas!$B$5,IF(O20=listas!$C$6,listas!$B$6,IF(O20=listas!$C$7,listas!$B$7,IF(O20=listas!$C$8,listas!$B$8,""))))))))</f>
        <v>CCE-10</v>
      </c>
      <c r="Q20" s="691">
        <f>15862775-15862775</f>
        <v>0</v>
      </c>
      <c r="R20" s="899"/>
      <c r="S20" s="899"/>
      <c r="T20" s="899">
        <f t="shared" si="0"/>
        <v>0</v>
      </c>
      <c r="U20" s="691"/>
      <c r="V20" s="689"/>
      <c r="W20" s="689"/>
      <c r="X20" s="689"/>
      <c r="Y20" s="689"/>
      <c r="Z20" s="813"/>
      <c r="AA20" s="689"/>
      <c r="AB20" s="689"/>
      <c r="AC20" s="689"/>
      <c r="AD20" s="689"/>
      <c r="AE20" s="689"/>
    </row>
    <row r="21" spans="1:32" ht="15" customHeight="1" x14ac:dyDescent="0.2">
      <c r="A21" s="1455"/>
      <c r="B21" s="1463"/>
      <c r="C21" s="841">
        <v>13</v>
      </c>
      <c r="D21" s="1015" t="s">
        <v>635</v>
      </c>
      <c r="E21" s="576">
        <v>81112200</v>
      </c>
      <c r="F21" s="545" t="s">
        <v>502</v>
      </c>
      <c r="G21" s="577" t="s">
        <v>556</v>
      </c>
      <c r="H21" s="725">
        <v>20102</v>
      </c>
      <c r="I21" s="597" t="s">
        <v>819</v>
      </c>
      <c r="J21" s="725" t="s">
        <v>775</v>
      </c>
      <c r="K21" s="571" t="s">
        <v>389</v>
      </c>
      <c r="L21" s="571" t="s">
        <v>389</v>
      </c>
      <c r="M21" s="572">
        <v>90</v>
      </c>
      <c r="N21" s="592">
        <v>0</v>
      </c>
      <c r="O21" s="885" t="s">
        <v>597</v>
      </c>
      <c r="P21" s="717"/>
      <c r="Q21" s="691">
        <f>19008078-19008078</f>
        <v>0</v>
      </c>
      <c r="R21" s="689"/>
      <c r="S21" s="689"/>
      <c r="T21" s="689">
        <f t="shared" si="0"/>
        <v>0</v>
      </c>
      <c r="U21" s="691"/>
      <c r="V21" s="689"/>
      <c r="W21" s="689"/>
      <c r="X21" s="689"/>
      <c r="Y21" s="689"/>
      <c r="Z21" s="813"/>
      <c r="AA21" s="689"/>
      <c r="AB21" s="689"/>
      <c r="AC21" s="689"/>
      <c r="AD21" s="689"/>
      <c r="AE21" s="689"/>
    </row>
    <row r="22" spans="1:32" ht="39" customHeight="1" x14ac:dyDescent="0.2">
      <c r="A22" s="1455"/>
      <c r="B22" s="1463"/>
      <c r="C22" s="828">
        <v>155</v>
      </c>
      <c r="D22" s="588" t="s">
        <v>961</v>
      </c>
      <c r="E22" s="576">
        <v>81112500</v>
      </c>
      <c r="F22" s="545" t="s">
        <v>502</v>
      </c>
      <c r="G22" s="577" t="s">
        <v>556</v>
      </c>
      <c r="H22" s="725">
        <v>20101</v>
      </c>
      <c r="I22" s="597" t="s">
        <v>822</v>
      </c>
      <c r="J22" s="725" t="s">
        <v>983</v>
      </c>
      <c r="K22" s="571" t="s">
        <v>358</v>
      </c>
      <c r="L22" s="571" t="s">
        <v>101</v>
      </c>
      <c r="M22" s="572">
        <v>3</v>
      </c>
      <c r="N22" s="592">
        <v>1</v>
      </c>
      <c r="O22" s="885" t="s">
        <v>962</v>
      </c>
      <c r="P22" s="717" t="s">
        <v>956</v>
      </c>
      <c r="Q22" s="691">
        <v>51706349</v>
      </c>
      <c r="R22" s="689"/>
      <c r="S22" s="689"/>
      <c r="T22" s="1056">
        <f>+Q22+R22+S22</f>
        <v>51706349</v>
      </c>
      <c r="U22" s="691">
        <v>51706349</v>
      </c>
      <c r="V22" s="689"/>
      <c r="W22" s="689"/>
      <c r="X22" s="689">
        <f>+U22+V22+W22</f>
        <v>51706349</v>
      </c>
      <c r="Y22" s="860">
        <v>43322</v>
      </c>
      <c r="Z22" s="813">
        <v>83</v>
      </c>
      <c r="AA22" s="689" t="s">
        <v>1104</v>
      </c>
      <c r="AB22" s="689"/>
      <c r="AC22" s="689"/>
      <c r="AD22" s="689"/>
      <c r="AE22" s="689"/>
    </row>
    <row r="23" spans="1:32" ht="18" customHeight="1" x14ac:dyDescent="0.2">
      <c r="A23" s="1455"/>
      <c r="B23" s="1463"/>
      <c r="C23" s="917"/>
      <c r="D23" s="588" t="s">
        <v>1177</v>
      </c>
      <c r="E23" s="576">
        <v>81112500</v>
      </c>
      <c r="F23" s="545" t="s">
        <v>502</v>
      </c>
      <c r="G23" s="577"/>
      <c r="H23" s="725"/>
      <c r="I23" s="597"/>
      <c r="J23" s="725"/>
      <c r="K23" s="571" t="s">
        <v>358</v>
      </c>
      <c r="L23" s="571" t="s">
        <v>101</v>
      </c>
      <c r="M23" s="572"/>
      <c r="N23" s="592"/>
      <c r="O23" s="952"/>
      <c r="P23" s="717"/>
      <c r="Q23" s="691">
        <v>11395336</v>
      </c>
      <c r="R23" s="689"/>
      <c r="S23" s="689"/>
      <c r="T23" s="1056">
        <f>+Q23+S23</f>
        <v>11395336</v>
      </c>
      <c r="U23" s="691">
        <v>10376469</v>
      </c>
      <c r="V23" s="689"/>
      <c r="W23" s="689"/>
      <c r="X23" s="689">
        <f>+U23+V23+W23</f>
        <v>10376469</v>
      </c>
      <c r="Y23" s="689">
        <v>43447</v>
      </c>
      <c r="Z23" s="813">
        <v>132</v>
      </c>
      <c r="AA23" s="689" t="s">
        <v>1178</v>
      </c>
      <c r="AB23" s="689"/>
      <c r="AC23" s="689"/>
      <c r="AD23" s="689"/>
      <c r="AE23" s="689"/>
    </row>
    <row r="24" spans="1:32" ht="53.25" customHeight="1" x14ac:dyDescent="0.2">
      <c r="A24" s="1455"/>
      <c r="B24" s="1463"/>
      <c r="C24" s="841">
        <v>160</v>
      </c>
      <c r="D24" s="588" t="s">
        <v>1097</v>
      </c>
      <c r="E24" s="576" t="s">
        <v>979</v>
      </c>
      <c r="F24" s="545" t="s">
        <v>502</v>
      </c>
      <c r="G24" s="577" t="s">
        <v>556</v>
      </c>
      <c r="H24" s="725">
        <v>20102</v>
      </c>
      <c r="I24" s="597" t="s">
        <v>819</v>
      </c>
      <c r="J24" s="725" t="s">
        <v>835</v>
      </c>
      <c r="K24" s="571" t="s">
        <v>389</v>
      </c>
      <c r="L24" s="571" t="s">
        <v>389</v>
      </c>
      <c r="M24" s="572">
        <v>7</v>
      </c>
      <c r="N24" s="592">
        <v>1</v>
      </c>
      <c r="O24" s="885" t="s">
        <v>597</v>
      </c>
      <c r="P24" s="717" t="str">
        <f>IF(O24=listas!$C$1,listas!$B$1,IF(O24=listas!$C$2,listas!$B$2,IF(O24=listas!$C$3,listas!$B$3,IF(O24=listas!$C$4,listas!$B$4,IF(O24=listas!$C$5,listas!$B$5,IF(O24=listas!$C$6,listas!$B$6,IF(O24=listas!$C$7,listas!$B$7,IF(O24=listas!$C$8,listas!$B$8,""))))))))</f>
        <v>CCE-10</v>
      </c>
      <c r="Q24" s="691">
        <v>4600000</v>
      </c>
      <c r="R24" s="1125"/>
      <c r="S24" s="1125"/>
      <c r="T24" s="1126">
        <f t="shared" si="0"/>
        <v>4600000</v>
      </c>
      <c r="U24" s="691">
        <v>4600000</v>
      </c>
      <c r="V24" s="689"/>
      <c r="W24" s="689"/>
      <c r="X24" s="689">
        <f>+U24+V24+W24</f>
        <v>4600000</v>
      </c>
      <c r="Y24" s="860">
        <v>43272</v>
      </c>
      <c r="Z24" s="813">
        <v>76</v>
      </c>
      <c r="AA24" s="689" t="s">
        <v>985</v>
      </c>
      <c r="AB24" s="689"/>
      <c r="AC24" s="689"/>
      <c r="AD24" s="689"/>
      <c r="AE24" s="689"/>
    </row>
    <row r="25" spans="1:32" ht="53.25" customHeight="1" x14ac:dyDescent="0.25">
      <c r="A25" s="1455"/>
      <c r="B25" s="1463"/>
      <c r="C25" s="1051">
        <v>160</v>
      </c>
      <c r="D25" s="588" t="s">
        <v>1144</v>
      </c>
      <c r="E25" s="576" t="s">
        <v>979</v>
      </c>
      <c r="F25" s="545" t="s">
        <v>502</v>
      </c>
      <c r="G25" s="577" t="s">
        <v>556</v>
      </c>
      <c r="H25" s="725">
        <v>20102</v>
      </c>
      <c r="I25" s="597" t="s">
        <v>819</v>
      </c>
      <c r="J25" s="725" t="s">
        <v>835</v>
      </c>
      <c r="K25" s="571" t="s">
        <v>552</v>
      </c>
      <c r="L25" s="571" t="s">
        <v>552</v>
      </c>
      <c r="M25" s="572">
        <v>2</v>
      </c>
      <c r="N25" s="592">
        <v>1</v>
      </c>
      <c r="O25" s="1051" t="s">
        <v>597</v>
      </c>
      <c r="P25" s="717" t="str">
        <f>IF(O25=listas!$C$1,listas!$B$1,IF(O25=listas!$C$2,listas!$B$2,IF(O25=listas!$C$3,listas!$B$3,IF(O25=listas!$C$4,listas!$B$4,IF(O25=listas!$C$5,listas!$B$5,IF(O25=listas!$C$6,listas!$B$6,IF(O25=listas!$C$7,listas!$B$7,IF(O25=listas!$C$8,listas!$B$8,""))))))))</f>
        <v>CCE-10</v>
      </c>
      <c r="Q25" s="1124">
        <v>991000</v>
      </c>
      <c r="R25" s="1125"/>
      <c r="S25" s="1125"/>
      <c r="T25" s="1126">
        <f t="shared" si="0"/>
        <v>991000</v>
      </c>
      <c r="U25" s="691">
        <v>991000</v>
      </c>
      <c r="V25" s="689"/>
      <c r="W25" s="689"/>
      <c r="X25" s="689">
        <v>991000</v>
      </c>
      <c r="Y25" s="860">
        <v>43441</v>
      </c>
      <c r="Z25" s="813">
        <v>76</v>
      </c>
      <c r="AA25" s="689" t="s">
        <v>985</v>
      </c>
      <c r="AB25" s="689"/>
      <c r="AC25" s="689"/>
      <c r="AD25" s="689"/>
      <c r="AE25" s="689"/>
      <c r="AF25" s="809"/>
    </row>
    <row r="26" spans="1:32" x14ac:dyDescent="0.2">
      <c r="A26" s="1455"/>
      <c r="B26" s="1463"/>
      <c r="C26" s="875"/>
      <c r="D26" s="588" t="s">
        <v>984</v>
      </c>
      <c r="E26" s="576"/>
      <c r="F26" s="545"/>
      <c r="G26" s="577"/>
      <c r="H26" s="725"/>
      <c r="I26" s="597"/>
      <c r="J26" s="725"/>
      <c r="K26" s="571"/>
      <c r="L26" s="571"/>
      <c r="M26" s="572"/>
      <c r="N26" s="592"/>
      <c r="O26" s="1051"/>
      <c r="P26" s="717"/>
      <c r="Q26" s="691">
        <f>8756500-U24-4156500</f>
        <v>0</v>
      </c>
      <c r="R26" s="689"/>
      <c r="S26" s="689"/>
      <c r="T26" s="1056">
        <f>+Q26+R26+S26</f>
        <v>0</v>
      </c>
      <c r="U26" s="691"/>
      <c r="V26" s="689"/>
      <c r="W26" s="689"/>
      <c r="X26" s="689"/>
      <c r="Y26" s="860"/>
      <c r="Z26" s="813"/>
      <c r="AA26" s="689"/>
      <c r="AB26" s="689"/>
      <c r="AC26" s="689"/>
      <c r="AD26" s="689"/>
      <c r="AE26" s="689"/>
    </row>
    <row r="27" spans="1:32" ht="43.5" customHeight="1" x14ac:dyDescent="0.2">
      <c r="A27" s="1455"/>
      <c r="B27" s="1463"/>
      <c r="C27" s="734">
        <v>15</v>
      </c>
      <c r="D27" s="588" t="s">
        <v>636</v>
      </c>
      <c r="E27" s="576">
        <v>81112500</v>
      </c>
      <c r="F27" s="545" t="s">
        <v>502</v>
      </c>
      <c r="G27" s="577" t="s">
        <v>556</v>
      </c>
      <c r="H27" s="725">
        <v>20102</v>
      </c>
      <c r="I27" s="597" t="s">
        <v>819</v>
      </c>
      <c r="J27" s="725" t="s">
        <v>775</v>
      </c>
      <c r="K27" s="571" t="s">
        <v>358</v>
      </c>
      <c r="L27" s="571" t="s">
        <v>358</v>
      </c>
      <c r="M27" s="572">
        <v>90</v>
      </c>
      <c r="N27" s="592">
        <v>0</v>
      </c>
      <c r="O27" s="885" t="s">
        <v>612</v>
      </c>
      <c r="P27" s="717" t="str">
        <f>IF(O27=listas!$C$1,listas!$B$1,IF(O27=listas!$C$2,listas!$B$2,IF(O27=listas!$C$3,listas!$B$3,IF(O27=listas!$C$4,listas!$B$4,IF(O27=listas!$C$5,listas!$B$5,IF(O27=listas!$C$6,listas!$B$6,IF(O27=listas!$C$7,listas!$B$7,IF(O27=listas!$C$8,listas!$B$8,""))))))))</f>
        <v>CCE-06</v>
      </c>
      <c r="Q27" s="691">
        <f>27000000-27000000</f>
        <v>0</v>
      </c>
      <c r="R27" s="689"/>
      <c r="S27" s="689"/>
      <c r="T27" s="1056">
        <f t="shared" si="0"/>
        <v>0</v>
      </c>
      <c r="U27" s="691"/>
      <c r="V27" s="689"/>
      <c r="W27" s="689"/>
      <c r="X27" s="689"/>
      <c r="Y27" s="689"/>
      <c r="Z27" s="691"/>
      <c r="AA27" s="689"/>
      <c r="AB27" s="689"/>
      <c r="AC27" s="689"/>
      <c r="AD27" s="689"/>
      <c r="AE27" s="689"/>
    </row>
    <row r="28" spans="1:32" ht="28.5" customHeight="1" x14ac:dyDescent="0.2">
      <c r="A28" s="1455"/>
      <c r="B28" s="1463"/>
      <c r="C28" s="734">
        <v>16</v>
      </c>
      <c r="D28" s="588" t="s">
        <v>707</v>
      </c>
      <c r="E28" s="576">
        <v>81111500</v>
      </c>
      <c r="F28" s="545" t="s">
        <v>502</v>
      </c>
      <c r="G28" s="577" t="s">
        <v>556</v>
      </c>
      <c r="H28" s="725">
        <v>20102</v>
      </c>
      <c r="I28" s="597" t="s">
        <v>819</v>
      </c>
      <c r="J28" s="725" t="s">
        <v>835</v>
      </c>
      <c r="K28" s="571" t="s">
        <v>39</v>
      </c>
      <c r="L28" s="571" t="s">
        <v>39</v>
      </c>
      <c r="M28" s="572">
        <v>240</v>
      </c>
      <c r="N28" s="592">
        <v>0</v>
      </c>
      <c r="O28" s="885" t="s">
        <v>597</v>
      </c>
      <c r="P28" s="717" t="str">
        <f>IF(O28=listas!$C$1,listas!$B$1,IF(O28=listas!$C$2,listas!$B$2,IF(O28=listas!$C$3,listas!$B$3,IF(O28=listas!$C$4,listas!$B$4,IF(O28=listas!$C$5,listas!$B$5,IF(O28=listas!$C$6,listas!$B$6,IF(O28=listas!$C$7,listas!$B$7,IF(O28=listas!$C$8,listas!$B$8,""))))))))</f>
        <v>CCE-10</v>
      </c>
      <c r="Q28" s="691">
        <f>8000000-8000000</f>
        <v>0</v>
      </c>
      <c r="R28" s="689"/>
      <c r="S28" s="689"/>
      <c r="T28" s="1056">
        <f t="shared" si="0"/>
        <v>0</v>
      </c>
      <c r="U28" s="691"/>
      <c r="V28" s="689"/>
      <c r="W28" s="689"/>
      <c r="X28" s="689"/>
      <c r="Y28" s="689"/>
      <c r="Z28" s="691"/>
      <c r="AA28" s="689"/>
      <c r="AB28" s="689"/>
      <c r="AC28" s="689"/>
      <c r="AD28" s="689"/>
      <c r="AE28" s="689"/>
    </row>
    <row r="29" spans="1:32" ht="39" customHeight="1" x14ac:dyDescent="0.2">
      <c r="A29" s="1455"/>
      <c r="B29" s="1463"/>
      <c r="C29" s="846">
        <v>159</v>
      </c>
      <c r="D29" s="588" t="s">
        <v>971</v>
      </c>
      <c r="E29" s="576" t="s">
        <v>1062</v>
      </c>
      <c r="F29" s="936" t="s">
        <v>626</v>
      </c>
      <c r="G29" s="551" t="s">
        <v>627</v>
      </c>
      <c r="H29" s="725">
        <v>1010801</v>
      </c>
      <c r="I29" s="936" t="s">
        <v>994</v>
      </c>
      <c r="J29" s="725" t="s">
        <v>841</v>
      </c>
      <c r="K29" s="571" t="s">
        <v>101</v>
      </c>
      <c r="L29" s="572" t="s">
        <v>550</v>
      </c>
      <c r="M29" s="572">
        <v>3</v>
      </c>
      <c r="N29" s="592">
        <v>1</v>
      </c>
      <c r="O29" s="936" t="s">
        <v>597</v>
      </c>
      <c r="P29" s="717" t="str">
        <f>IF(O29=listas!$C$1,listas!$B$1,IF(O29=listas!$C$2,listas!$B$2,IF(O29=listas!$C$3,listas!$B$3,IF(O29=listas!$C$4,listas!$B$4,IF(O29=listas!$C$5,listas!$B$5,IF(O29=listas!$C$6,listas!$B$6,IF(O29=listas!$C$7,listas!$B$7,IF(O29=listas!$C$8,listas!$B$8,""))))))))</f>
        <v>CCE-10</v>
      </c>
      <c r="Q29" s="691">
        <v>520261</v>
      </c>
      <c r="R29" s="689"/>
      <c r="S29" s="689"/>
      <c r="T29" s="1056">
        <f>+Q29+R29+S29</f>
        <v>520261</v>
      </c>
      <c r="U29" s="691">
        <v>520261</v>
      </c>
      <c r="V29" s="689"/>
      <c r="W29" s="689"/>
      <c r="X29" s="689">
        <f>+U29+V29+W29</f>
        <v>520261</v>
      </c>
      <c r="Y29" s="860">
        <v>43362</v>
      </c>
      <c r="Z29" s="813">
        <v>117</v>
      </c>
      <c r="AA29" s="689" t="s">
        <v>1121</v>
      </c>
      <c r="AB29" s="689"/>
      <c r="AC29" s="689"/>
      <c r="AD29" s="689"/>
      <c r="AE29" s="689"/>
    </row>
    <row r="30" spans="1:32" ht="0.75" customHeight="1" x14ac:dyDescent="0.2">
      <c r="A30" s="1455"/>
      <c r="B30" s="1463"/>
      <c r="C30" s="1087"/>
      <c r="D30" s="588" t="s">
        <v>1145</v>
      </c>
      <c r="E30" s="576"/>
      <c r="F30" s="1086"/>
      <c r="G30" s="1016"/>
      <c r="H30" s="725"/>
      <c r="I30" s="1087"/>
      <c r="J30" s="725"/>
      <c r="K30" s="571"/>
      <c r="L30" s="572"/>
      <c r="M30" s="572"/>
      <c r="N30" s="592"/>
      <c r="O30" s="1087"/>
      <c r="P30" s="717"/>
      <c r="Q30" s="691">
        <f>649000-520261-128739</f>
        <v>0</v>
      </c>
      <c r="R30" s="689"/>
      <c r="S30" s="689"/>
      <c r="T30" s="1056">
        <f>+Q30+S30</f>
        <v>0</v>
      </c>
      <c r="U30" s="691"/>
      <c r="V30" s="689"/>
      <c r="W30" s="689"/>
      <c r="X30" s="689"/>
      <c r="Y30" s="860"/>
      <c r="Z30" s="813"/>
      <c r="AA30" s="689"/>
      <c r="AB30" s="689"/>
      <c r="AC30" s="689"/>
      <c r="AD30" s="689"/>
      <c r="AE30" s="689"/>
    </row>
    <row r="31" spans="1:32" ht="33" customHeight="1" x14ac:dyDescent="0.2">
      <c r="A31" s="1455"/>
      <c r="B31" s="1463"/>
      <c r="C31" s="902"/>
      <c r="D31" s="588" t="s">
        <v>1020</v>
      </c>
      <c r="E31" s="576">
        <v>81112003</v>
      </c>
      <c r="F31" s="545" t="s">
        <v>502</v>
      </c>
      <c r="G31" s="577" t="s">
        <v>556</v>
      </c>
      <c r="H31" s="725">
        <v>20102</v>
      </c>
      <c r="I31" s="597" t="s">
        <v>819</v>
      </c>
      <c r="J31" s="725" t="s">
        <v>1021</v>
      </c>
      <c r="K31" s="571" t="s">
        <v>550</v>
      </c>
      <c r="L31" s="571" t="s">
        <v>550</v>
      </c>
      <c r="M31" s="572">
        <v>2</v>
      </c>
      <c r="N31" s="592">
        <v>1</v>
      </c>
      <c r="O31" s="936" t="s">
        <v>597</v>
      </c>
      <c r="P31" s="717" t="str">
        <f>IF(O31=listas!$C$1,listas!$B$1,IF(O31=listas!$C$2,listas!$B$2,IF(O31=listas!$C$3,listas!$B$3,IF(O31=listas!$C$4,listas!$B$4,IF(O31=listas!$C$5,listas!$B$5,IF(O31=listas!$C$6,listas!$B$6,IF(O31=listas!$C$7,listas!$B$7,IF(O31=listas!$C$8,listas!$B$8,""))))))))</f>
        <v>CCE-10</v>
      </c>
      <c r="Q31" s="691">
        <f>14407954-14407954</f>
        <v>0</v>
      </c>
      <c r="R31" s="689"/>
      <c r="S31" s="689"/>
      <c r="T31" s="1056">
        <f>+Q31+S31</f>
        <v>0</v>
      </c>
      <c r="U31" s="691"/>
      <c r="V31" s="689"/>
      <c r="W31" s="689"/>
      <c r="X31" s="689"/>
      <c r="Y31" s="689"/>
      <c r="Z31" s="691"/>
      <c r="AA31" s="689"/>
      <c r="AB31" s="689"/>
      <c r="AC31" s="689"/>
      <c r="AD31" s="689"/>
      <c r="AE31" s="689"/>
    </row>
    <row r="32" spans="1:32" ht="54.75" customHeight="1" x14ac:dyDescent="0.2">
      <c r="A32" s="1455"/>
      <c r="B32" s="1463"/>
      <c r="C32" s="1041">
        <v>16</v>
      </c>
      <c r="D32" s="588" t="s">
        <v>1133</v>
      </c>
      <c r="E32" s="576" t="s">
        <v>1124</v>
      </c>
      <c r="F32" s="545" t="s">
        <v>502</v>
      </c>
      <c r="G32" s="577" t="s">
        <v>556</v>
      </c>
      <c r="H32" s="725">
        <v>20102</v>
      </c>
      <c r="I32" s="597" t="s">
        <v>819</v>
      </c>
      <c r="J32" s="725" t="s">
        <v>1021</v>
      </c>
      <c r="K32" s="571" t="s">
        <v>551</v>
      </c>
      <c r="L32" s="571" t="s">
        <v>552</v>
      </c>
      <c r="M32" s="572">
        <v>2</v>
      </c>
      <c r="N32" s="592">
        <v>1</v>
      </c>
      <c r="O32" s="1041" t="s">
        <v>597</v>
      </c>
      <c r="P32" s="717" t="str">
        <f>IF(O32=listas!$C$1,listas!$B$1,IF(O32=listas!$C$2,listas!$B$2,IF(O32=listas!$C$3,listas!$B$3,IF(O32=listas!$C$4,listas!$B$4,IF(O32=listas!$C$5,listas!$B$5,IF(O32=listas!$C$6,listas!$B$6,IF(O32=listas!$C$7,listas!$B$7,IF(O32=listas!$C$8,listas!$B$8,""))))))))</f>
        <v>CCE-10</v>
      </c>
      <c r="Q32" s="691">
        <v>15300000</v>
      </c>
      <c r="R32" s="689"/>
      <c r="S32" s="689"/>
      <c r="T32" s="1056">
        <f>+Q32+S32</f>
        <v>15300000</v>
      </c>
      <c r="U32" s="691">
        <v>15300000</v>
      </c>
      <c r="V32" s="689"/>
      <c r="W32" s="689"/>
      <c r="X32" s="689">
        <f>+U32+V32+W32</f>
        <v>15300000</v>
      </c>
      <c r="Y32" s="882">
        <v>43419</v>
      </c>
      <c r="Z32" s="813">
        <v>128</v>
      </c>
      <c r="AA32" s="689" t="s">
        <v>1160</v>
      </c>
      <c r="AB32" s="689"/>
      <c r="AC32" s="689"/>
      <c r="AD32" s="689"/>
      <c r="AE32" s="689"/>
    </row>
    <row r="33" spans="1:32" ht="54.75" customHeight="1" x14ac:dyDescent="0.2">
      <c r="A33" s="1455"/>
      <c r="B33" s="1463"/>
      <c r="C33" s="1094"/>
      <c r="D33" s="588"/>
      <c r="E33" s="576"/>
      <c r="F33" s="545"/>
      <c r="G33" s="577"/>
      <c r="H33" s="725"/>
      <c r="I33" s="597"/>
      <c r="J33" s="725"/>
      <c r="K33" s="571"/>
      <c r="L33" s="571"/>
      <c r="M33" s="572"/>
      <c r="N33" s="592"/>
      <c r="O33" s="1094"/>
      <c r="P33" s="717"/>
      <c r="Q33" s="691">
        <f>21800000-15300000-6500000</f>
        <v>0</v>
      </c>
      <c r="R33" s="689"/>
      <c r="S33" s="689"/>
      <c r="T33" s="1056">
        <f>+Q33+S33</f>
        <v>0</v>
      </c>
      <c r="U33" s="691"/>
      <c r="V33" s="689"/>
      <c r="W33" s="689"/>
      <c r="X33" s="689"/>
      <c r="Y33" s="882"/>
      <c r="Z33" s="813"/>
      <c r="AA33" s="689"/>
      <c r="AB33" s="689"/>
      <c r="AC33" s="689"/>
      <c r="AD33" s="689"/>
      <c r="AE33" s="689"/>
    </row>
    <row r="34" spans="1:32" ht="49.5" customHeight="1" x14ac:dyDescent="0.2">
      <c r="A34" s="1455"/>
      <c r="B34" s="1463"/>
      <c r="C34" s="734">
        <v>157</v>
      </c>
      <c r="D34" s="588" t="s">
        <v>637</v>
      </c>
      <c r="E34" s="576" t="s">
        <v>700</v>
      </c>
      <c r="F34" s="885" t="s">
        <v>754</v>
      </c>
      <c r="G34" s="551" t="s">
        <v>579</v>
      </c>
      <c r="H34" s="725">
        <v>30201</v>
      </c>
      <c r="I34" s="889" t="s">
        <v>836</v>
      </c>
      <c r="J34" s="725" t="s">
        <v>837</v>
      </c>
      <c r="K34" s="571" t="s">
        <v>548</v>
      </c>
      <c r="L34" s="571" t="s">
        <v>548</v>
      </c>
      <c r="M34" s="572">
        <v>360</v>
      </c>
      <c r="N34" s="592">
        <v>0</v>
      </c>
      <c r="O34" s="572" t="s">
        <v>700</v>
      </c>
      <c r="P34" s="885" t="s">
        <v>675</v>
      </c>
      <c r="Q34" s="691">
        <v>357000</v>
      </c>
      <c r="R34" s="689"/>
      <c r="S34" s="689"/>
      <c r="T34" s="1056">
        <f t="shared" si="0"/>
        <v>357000</v>
      </c>
      <c r="U34" s="691">
        <f>178500+178500</f>
        <v>357000</v>
      </c>
      <c r="V34" s="689"/>
      <c r="W34" s="689"/>
      <c r="X34" s="689">
        <f>+U34+V34+W34</f>
        <v>357000</v>
      </c>
      <c r="Y34" s="689"/>
      <c r="Z34" s="691"/>
      <c r="AA34" s="689"/>
      <c r="AB34" s="689"/>
      <c r="AC34" s="689"/>
      <c r="AD34" s="689"/>
      <c r="AE34" s="689">
        <f>+AB34+AC34+AD34</f>
        <v>0</v>
      </c>
    </row>
    <row r="35" spans="1:32" ht="1.5" customHeight="1" x14ac:dyDescent="0.2">
      <c r="A35" s="1455"/>
      <c r="B35" s="1463"/>
      <c r="C35" s="1063">
        <v>157</v>
      </c>
      <c r="D35" s="588" t="s">
        <v>1148</v>
      </c>
      <c r="E35" s="576"/>
      <c r="F35" s="1089"/>
      <c r="G35" s="551"/>
      <c r="H35" s="725"/>
      <c r="I35" s="889"/>
      <c r="J35" s="725"/>
      <c r="K35" s="571"/>
      <c r="L35" s="571"/>
      <c r="M35" s="572"/>
      <c r="N35" s="592"/>
      <c r="O35" s="572"/>
      <c r="P35" s="1089"/>
      <c r="Q35" s="691">
        <f>243000-243000</f>
        <v>0</v>
      </c>
      <c r="R35" s="689"/>
      <c r="S35" s="689"/>
      <c r="T35" s="1056">
        <f>+Q35+S35</f>
        <v>0</v>
      </c>
      <c r="U35" s="691"/>
      <c r="V35" s="689"/>
      <c r="W35" s="689"/>
      <c r="X35" s="689"/>
      <c r="Y35" s="689"/>
      <c r="Z35" s="691"/>
      <c r="AA35" s="689"/>
      <c r="AB35" s="689"/>
      <c r="AC35" s="689"/>
      <c r="AD35" s="689"/>
      <c r="AE35" s="689"/>
    </row>
    <row r="36" spans="1:32" ht="66.75" customHeight="1" x14ac:dyDescent="0.2">
      <c r="A36" s="1455"/>
      <c r="B36" s="1463"/>
      <c r="C36" s="1089">
        <v>12</v>
      </c>
      <c r="D36" s="588" t="s">
        <v>1163</v>
      </c>
      <c r="E36" s="576" t="s">
        <v>1152</v>
      </c>
      <c r="F36" s="1169" t="s">
        <v>502</v>
      </c>
      <c r="G36" s="577" t="s">
        <v>556</v>
      </c>
      <c r="H36" s="725">
        <v>20102</v>
      </c>
      <c r="I36" s="889" t="s">
        <v>1153</v>
      </c>
      <c r="J36" s="889" t="s">
        <v>1154</v>
      </c>
      <c r="K36" s="571" t="s">
        <v>552</v>
      </c>
      <c r="L36" s="571" t="s">
        <v>552</v>
      </c>
      <c r="M36" s="572">
        <v>12</v>
      </c>
      <c r="N36" s="592">
        <v>1</v>
      </c>
      <c r="O36" s="572" t="s">
        <v>1155</v>
      </c>
      <c r="P36" s="1089" t="s">
        <v>1156</v>
      </c>
      <c r="Q36" s="691">
        <v>61500000</v>
      </c>
      <c r="R36" s="689"/>
      <c r="S36" s="689"/>
      <c r="T36" s="1056">
        <f>+Q36+S36</f>
        <v>61500000</v>
      </c>
      <c r="U36" s="691">
        <v>61445412</v>
      </c>
      <c r="V36" s="689"/>
      <c r="W36" s="689"/>
      <c r="X36" s="689">
        <f>+U36+V36+W36</f>
        <v>61445412</v>
      </c>
      <c r="Y36" s="882">
        <v>43452</v>
      </c>
      <c r="Z36" s="813">
        <v>134</v>
      </c>
      <c r="AA36" s="689" t="s">
        <v>1179</v>
      </c>
      <c r="AB36" s="689"/>
      <c r="AC36" s="689"/>
      <c r="AD36" s="689"/>
      <c r="AE36" s="689"/>
    </row>
    <row r="37" spans="1:32" ht="11.25" customHeight="1" x14ac:dyDescent="0.2">
      <c r="A37" s="1455"/>
      <c r="B37" s="1463"/>
      <c r="C37" s="1089"/>
      <c r="D37" s="588" t="s">
        <v>1162</v>
      </c>
      <c r="E37" s="576"/>
      <c r="F37" s="1089"/>
      <c r="G37" s="551"/>
      <c r="H37" s="725"/>
      <c r="I37" s="889"/>
      <c r="J37" s="725"/>
      <c r="K37" s="571"/>
      <c r="L37" s="571"/>
      <c r="M37" s="572"/>
      <c r="N37" s="592"/>
      <c r="O37" s="572"/>
      <c r="P37" s="1089"/>
      <c r="Q37" s="1075">
        <f>44500000-44500000</f>
        <v>0</v>
      </c>
      <c r="R37" s="899"/>
      <c r="S37" s="899"/>
      <c r="T37" s="899">
        <f>+Q37+S37</f>
        <v>0</v>
      </c>
      <c r="U37" s="691"/>
      <c r="V37" s="689"/>
      <c r="W37" s="689"/>
      <c r="X37" s="689"/>
      <c r="Y37" s="689"/>
      <c r="Z37" s="691"/>
      <c r="AA37" s="689"/>
      <c r="AB37" s="689"/>
      <c r="AC37" s="689"/>
      <c r="AD37" s="689"/>
      <c r="AE37" s="689"/>
    </row>
    <row r="38" spans="1:32" ht="24" customHeight="1" x14ac:dyDescent="0.2">
      <c r="A38" s="1456"/>
      <c r="B38" s="1464"/>
      <c r="C38" s="1457" t="s">
        <v>500</v>
      </c>
      <c r="D38" s="1458"/>
      <c r="E38" s="1458"/>
      <c r="F38" s="1458"/>
      <c r="G38" s="1458"/>
      <c r="H38" s="1458"/>
      <c r="I38" s="1458"/>
      <c r="J38" s="1458"/>
      <c r="K38" s="1458"/>
      <c r="L38" s="1458"/>
      <c r="M38" s="1458"/>
      <c r="N38" s="1458"/>
      <c r="O38" s="1459"/>
      <c r="P38" s="616"/>
      <c r="Q38" s="1069">
        <f>SUM(Q12:Q37)</f>
        <v>204500000.19999999</v>
      </c>
      <c r="R38" s="1069">
        <f t="shared" ref="R38:T38" si="2">SUM(R12:R37)</f>
        <v>0</v>
      </c>
      <c r="S38" s="1069">
        <f t="shared" si="2"/>
        <v>0</v>
      </c>
      <c r="T38" s="1069">
        <f t="shared" si="2"/>
        <v>204500000.19999999</v>
      </c>
      <c r="U38" s="1069">
        <f>SUM(U12:U36)</f>
        <v>203426545</v>
      </c>
      <c r="V38" s="1069">
        <f t="shared" ref="V38:W38" si="3">SUM(V12:V34)</f>
        <v>0</v>
      </c>
      <c r="W38" s="1069">
        <f t="shared" si="3"/>
        <v>0</v>
      </c>
      <c r="X38" s="1069">
        <f>SUM(X12:X36)</f>
        <v>203426545</v>
      </c>
      <c r="Y38" s="692"/>
      <c r="Z38" s="692"/>
      <c r="AA38" s="692">
        <f>SUM(AA12:AA34)</f>
        <v>0</v>
      </c>
      <c r="AB38" s="1069">
        <v>123621963</v>
      </c>
      <c r="AC38" s="1069">
        <f t="shared" ref="AC38:AD38" si="4">SUM(AC12:AC34)</f>
        <v>0</v>
      </c>
      <c r="AD38" s="1069">
        <f t="shared" si="4"/>
        <v>0</v>
      </c>
      <c r="AE38" s="1069">
        <f>+AB38+AC38+AD38</f>
        <v>123621963</v>
      </c>
    </row>
    <row r="39" spans="1:32" ht="1.5" customHeight="1" x14ac:dyDescent="0.2">
      <c r="A39" s="1453">
        <v>120103</v>
      </c>
      <c r="B39" s="1461" t="s">
        <v>638</v>
      </c>
      <c r="C39" s="714">
        <v>18</v>
      </c>
      <c r="D39" s="552" t="s">
        <v>624</v>
      </c>
      <c r="E39" s="936" t="s">
        <v>625</v>
      </c>
      <c r="F39" s="936" t="s">
        <v>626</v>
      </c>
      <c r="G39" s="551" t="s">
        <v>627</v>
      </c>
      <c r="H39" s="936">
        <v>1010804</v>
      </c>
      <c r="I39" s="936" t="s">
        <v>838</v>
      </c>
      <c r="J39" s="936" t="s">
        <v>839</v>
      </c>
      <c r="K39" s="571" t="s">
        <v>56</v>
      </c>
      <c r="L39" s="572" t="s">
        <v>56</v>
      </c>
      <c r="M39" s="936">
        <v>3</v>
      </c>
      <c r="N39" s="592">
        <v>1</v>
      </c>
      <c r="O39" s="818" t="s">
        <v>597</v>
      </c>
      <c r="P39" s="717" t="str">
        <f>IF(O39=listas!$C$1,listas!$B$1,IF(O39=listas!$C$2,listas!$B$2,IF(O39=listas!$C$3,listas!$B$3,IF(O39=listas!$C$4,listas!$B$4,IF(O39=listas!$C$5,listas!$B$5,IF(O39=listas!$C$6,listas!$B$6,IF(O39=listas!$C$7,listas!$B$7,IF(O39=listas!$C$8,listas!$B$8,""))))))))</f>
        <v>CCE-10</v>
      </c>
      <c r="Q39" s="689">
        <f>3000000-1500000-1500000</f>
        <v>0</v>
      </c>
      <c r="R39" s="689"/>
      <c r="S39" s="689"/>
      <c r="T39" s="689">
        <f>SUM(Q39:R39)</f>
        <v>0</v>
      </c>
      <c r="U39" s="689"/>
      <c r="V39" s="689"/>
      <c r="W39" s="689"/>
      <c r="X39" s="689"/>
      <c r="Y39" s="689"/>
      <c r="Z39" s="689"/>
      <c r="AA39" s="689"/>
      <c r="AB39" s="689">
        <v>0</v>
      </c>
      <c r="AC39" s="689"/>
      <c r="AD39" s="689"/>
      <c r="AE39" s="689"/>
    </row>
    <row r="40" spans="1:32" ht="57" customHeight="1" x14ac:dyDescent="0.2">
      <c r="A40" s="1453"/>
      <c r="B40" s="1461"/>
      <c r="C40" s="1021">
        <v>18</v>
      </c>
      <c r="D40" s="887" t="s">
        <v>1132</v>
      </c>
      <c r="E40" s="1021" t="s">
        <v>1105</v>
      </c>
      <c r="F40" s="1021" t="s">
        <v>626</v>
      </c>
      <c r="G40" s="551" t="s">
        <v>627</v>
      </c>
      <c r="H40" s="1021">
        <v>1010804</v>
      </c>
      <c r="I40" s="1021" t="s">
        <v>838</v>
      </c>
      <c r="J40" s="1021" t="s">
        <v>839</v>
      </c>
      <c r="K40" s="571" t="s">
        <v>56</v>
      </c>
      <c r="L40" s="572" t="s">
        <v>56</v>
      </c>
      <c r="M40" s="1021">
        <v>3</v>
      </c>
      <c r="N40" s="592">
        <v>1</v>
      </c>
      <c r="O40" s="1021" t="s">
        <v>597</v>
      </c>
      <c r="P40" s="717" t="str">
        <f>IF(O40=listas!$C$1,listas!$B$1,IF(O40=listas!$C$2,listas!$B$2,IF(O40=listas!$C$3,listas!$B$3,IF(O40=listas!$C$4,listas!$B$4,IF(O40=listas!$C$5,listas!$B$5,IF(O40=listas!$C$6,listas!$B$6,IF(O40=listas!$C$7,listas!$B$7,IF(O40=listas!$C$8,listas!$B$8,""))))))))</f>
        <v>CCE-10</v>
      </c>
      <c r="Q40" s="689">
        <f>3000000-1500000</f>
        <v>1500000</v>
      </c>
      <c r="R40" s="689"/>
      <c r="S40" s="689"/>
      <c r="T40" s="689">
        <f>+Q40+S40</f>
        <v>1500000</v>
      </c>
      <c r="U40" s="689">
        <v>1500000</v>
      </c>
      <c r="V40" s="689"/>
      <c r="W40" s="689"/>
      <c r="X40" s="689">
        <f>+U40+V40+W40</f>
        <v>1500000</v>
      </c>
      <c r="Y40" s="882">
        <v>43395</v>
      </c>
      <c r="Z40" s="689">
        <v>119</v>
      </c>
      <c r="AA40" s="689" t="s">
        <v>1157</v>
      </c>
      <c r="AB40" s="689"/>
      <c r="AC40" s="689"/>
      <c r="AD40" s="689"/>
      <c r="AE40" s="689"/>
    </row>
    <row r="41" spans="1:32" ht="15" customHeight="1" x14ac:dyDescent="0.2">
      <c r="A41" s="1453"/>
      <c r="B41" s="1461"/>
      <c r="C41" s="1468" t="s">
        <v>500</v>
      </c>
      <c r="D41" s="1469"/>
      <c r="E41" s="1469"/>
      <c r="F41" s="1469"/>
      <c r="G41" s="1469"/>
      <c r="H41" s="1469"/>
      <c r="I41" s="1469"/>
      <c r="J41" s="1469"/>
      <c r="K41" s="1469"/>
      <c r="L41" s="1469"/>
      <c r="M41" s="1469"/>
      <c r="N41" s="1469"/>
      <c r="O41" s="1470"/>
      <c r="P41" s="616"/>
      <c r="Q41" s="765">
        <f>+Q39+Q40</f>
        <v>1500000</v>
      </c>
      <c r="R41" s="765">
        <f t="shared" ref="R41:T41" si="5">+R39+R40</f>
        <v>0</v>
      </c>
      <c r="S41" s="765">
        <f t="shared" si="5"/>
        <v>0</v>
      </c>
      <c r="T41" s="765">
        <f t="shared" si="5"/>
        <v>1500000</v>
      </c>
      <c r="U41" s="765">
        <f>+U39+U40</f>
        <v>1500000</v>
      </c>
      <c r="V41" s="765"/>
      <c r="W41" s="765"/>
      <c r="X41" s="765">
        <f>+U41+V41+W41</f>
        <v>1500000</v>
      </c>
      <c r="Y41" s="690"/>
      <c r="Z41" s="690"/>
      <c r="AA41" s="690"/>
      <c r="AB41" s="765">
        <v>823852</v>
      </c>
      <c r="AC41" s="765"/>
      <c r="AD41" s="765"/>
      <c r="AE41" s="765">
        <f>+AB41+AC41+AD41</f>
        <v>823852</v>
      </c>
    </row>
    <row r="42" spans="1:32" ht="45.75" customHeight="1" x14ac:dyDescent="0.2">
      <c r="A42" s="1453">
        <v>120104</v>
      </c>
      <c r="B42" s="1461" t="s">
        <v>970</v>
      </c>
      <c r="C42" s="714">
        <v>159</v>
      </c>
      <c r="D42" s="552" t="s">
        <v>971</v>
      </c>
      <c r="E42" s="576" t="s">
        <v>1062</v>
      </c>
      <c r="F42" s="936" t="s">
        <v>626</v>
      </c>
      <c r="G42" s="551" t="s">
        <v>627</v>
      </c>
      <c r="H42" s="725">
        <v>1010801</v>
      </c>
      <c r="I42" s="936" t="s">
        <v>840</v>
      </c>
      <c r="J42" s="725" t="s">
        <v>841</v>
      </c>
      <c r="K42" s="571" t="s">
        <v>101</v>
      </c>
      <c r="L42" s="572" t="s">
        <v>550</v>
      </c>
      <c r="M42" s="572">
        <v>3</v>
      </c>
      <c r="N42" s="592">
        <v>1</v>
      </c>
      <c r="O42" s="872" t="s">
        <v>597</v>
      </c>
      <c r="P42" s="717" t="str">
        <f>IF(O42=listas!$C$1,listas!$B$1,IF(O42=listas!$C$2,listas!$B$2,IF(O42=listas!$C$3,listas!$B$3,IF(O42=listas!$C$4,listas!$B$4,IF(O42=listas!$C$5,listas!$B$5,IF(O42=listas!$C$6,listas!$B$6,IF(O42=listas!$C$7,listas!$B$7,IF(O42=listas!$C$8,listas!$B$8,""))))))))</f>
        <v>CCE-10</v>
      </c>
      <c r="Q42" s="691">
        <v>3000000</v>
      </c>
      <c r="R42" s="689"/>
      <c r="S42" s="689"/>
      <c r="T42" s="689">
        <f>SUM(Q42:R42)</f>
        <v>3000000</v>
      </c>
      <c r="U42" s="691">
        <v>2869311</v>
      </c>
      <c r="V42" s="689"/>
      <c r="W42" s="689"/>
      <c r="X42" s="689">
        <v>2869311</v>
      </c>
      <c r="Y42" s="766">
        <v>43362</v>
      </c>
      <c r="Z42" s="813">
        <v>117</v>
      </c>
      <c r="AA42" s="689" t="s">
        <v>1121</v>
      </c>
      <c r="AB42" s="689"/>
      <c r="AC42" s="689"/>
      <c r="AD42" s="689"/>
      <c r="AE42" s="689"/>
    </row>
    <row r="43" spans="1:32" ht="27" customHeight="1" x14ac:dyDescent="0.2">
      <c r="A43" s="1453"/>
      <c r="B43" s="1461"/>
      <c r="C43" s="714">
        <v>20</v>
      </c>
      <c r="D43" s="570" t="s">
        <v>628</v>
      </c>
      <c r="E43" s="617" t="s">
        <v>700</v>
      </c>
      <c r="F43" s="617" t="s">
        <v>629</v>
      </c>
      <c r="G43" s="573" t="s">
        <v>702</v>
      </c>
      <c r="H43" s="570" t="s">
        <v>842</v>
      </c>
      <c r="I43" s="570" t="s">
        <v>843</v>
      </c>
      <c r="J43" s="594" t="s">
        <v>844</v>
      </c>
      <c r="K43" s="571" t="s">
        <v>548</v>
      </c>
      <c r="L43" s="572" t="s">
        <v>548</v>
      </c>
      <c r="M43" s="555">
        <v>360</v>
      </c>
      <c r="N43" s="592">
        <v>0</v>
      </c>
      <c r="O43" s="578"/>
      <c r="P43" s="617" t="s">
        <v>700</v>
      </c>
      <c r="Q43" s="691">
        <v>2750000</v>
      </c>
      <c r="R43" s="689"/>
      <c r="S43" s="689"/>
      <c r="T43" s="689">
        <f>+Q43+R43+S43</f>
        <v>2750000</v>
      </c>
      <c r="U43" s="691">
        <f>173000+165180+14000+173600+35000+137800+54000+163900+66000</f>
        <v>982480</v>
      </c>
      <c r="V43" s="689"/>
      <c r="W43" s="689"/>
      <c r="X43" s="689">
        <f>+U43+V43+W43</f>
        <v>982480</v>
      </c>
      <c r="Y43" s="689"/>
      <c r="Z43" s="691"/>
      <c r="AA43" s="689"/>
      <c r="AB43" s="689"/>
      <c r="AC43" s="689"/>
      <c r="AD43" s="689"/>
      <c r="AE43" s="689"/>
    </row>
    <row r="44" spans="1:32" ht="17.25" customHeight="1" x14ac:dyDescent="0.2">
      <c r="A44" s="1453"/>
      <c r="B44" s="1461"/>
      <c r="C44" s="1468" t="s">
        <v>500</v>
      </c>
      <c r="D44" s="1469"/>
      <c r="E44" s="1469"/>
      <c r="F44" s="1469"/>
      <c r="G44" s="1469"/>
      <c r="H44" s="1469"/>
      <c r="I44" s="1469"/>
      <c r="J44" s="1469"/>
      <c r="K44" s="1469"/>
      <c r="L44" s="1469"/>
      <c r="M44" s="1469"/>
      <c r="N44" s="1469"/>
      <c r="O44" s="1470"/>
      <c r="P44" s="616"/>
      <c r="Q44" s="1069">
        <f>SUM(Q42:Q43)</f>
        <v>5750000</v>
      </c>
      <c r="R44" s="1069"/>
      <c r="S44" s="1069"/>
      <c r="T44" s="1069">
        <f>SUM(T42:T43)</f>
        <v>5750000</v>
      </c>
      <c r="U44" s="1069">
        <f>SUM(U42:U43)</f>
        <v>3851791</v>
      </c>
      <c r="V44" s="1069"/>
      <c r="W44" s="1069"/>
      <c r="X44" s="1069">
        <f>SUM(X42:X43)</f>
        <v>3851791</v>
      </c>
      <c r="Y44" s="692"/>
      <c r="Z44" s="692"/>
      <c r="AA44" s="692"/>
      <c r="AB44" s="1069">
        <v>3851791</v>
      </c>
      <c r="AC44" s="1069"/>
      <c r="AD44" s="1069"/>
      <c r="AE44" s="1069">
        <f>+AB44+AC44+AD44</f>
        <v>3851791</v>
      </c>
    </row>
    <row r="45" spans="1:32" ht="19.5" customHeight="1" x14ac:dyDescent="0.2">
      <c r="A45" s="1471" t="s">
        <v>639</v>
      </c>
      <c r="B45" s="1471"/>
      <c r="C45" s="1471"/>
      <c r="D45" s="1471"/>
      <c r="E45" s="1471"/>
      <c r="F45" s="1471"/>
      <c r="G45" s="1471"/>
      <c r="H45" s="1471"/>
      <c r="I45" s="1471"/>
      <c r="J45" s="1471"/>
      <c r="K45" s="1471"/>
      <c r="L45" s="1471"/>
      <c r="M45" s="1471"/>
      <c r="N45" s="1471"/>
      <c r="O45" s="1471"/>
      <c r="P45" s="746"/>
      <c r="Q45" s="747">
        <f>+Q11+Q38+Q41+Q44</f>
        <v>214750000.19999999</v>
      </c>
      <c r="R45" s="747"/>
      <c r="S45" s="747"/>
      <c r="T45" s="747">
        <f>+T11+T38+T41+T44</f>
        <v>214750000.19999999</v>
      </c>
      <c r="U45" s="747">
        <f>+U11+U38+U41+U44</f>
        <v>211688321</v>
      </c>
      <c r="V45" s="747"/>
      <c r="W45" s="747"/>
      <c r="X45" s="747">
        <f>+X11+X38+X41+X44</f>
        <v>211688321</v>
      </c>
      <c r="Y45" s="747"/>
      <c r="Z45" s="747"/>
      <c r="AA45" s="747"/>
      <c r="AB45" s="747">
        <f>+AB11+AB38+AB41+AB44</f>
        <v>131207591</v>
      </c>
      <c r="AC45" s="747"/>
      <c r="AD45" s="747"/>
      <c r="AE45" s="747">
        <f>+AB45+AC45+AD45</f>
        <v>131207591</v>
      </c>
    </row>
    <row r="46" spans="1:32" ht="54.75" customHeight="1" x14ac:dyDescent="0.2">
      <c r="A46" s="1454">
        <v>120201</v>
      </c>
      <c r="B46" s="1461" t="s">
        <v>640</v>
      </c>
      <c r="C46" s="714">
        <v>21</v>
      </c>
      <c r="D46" s="888" t="s">
        <v>641</v>
      </c>
      <c r="E46" s="558">
        <v>80131502</v>
      </c>
      <c r="F46" s="570" t="s">
        <v>754</v>
      </c>
      <c r="G46" s="551" t="s">
        <v>579</v>
      </c>
      <c r="H46" s="594">
        <v>10101</v>
      </c>
      <c r="I46" s="570" t="s">
        <v>845</v>
      </c>
      <c r="J46" s="594" t="s">
        <v>779</v>
      </c>
      <c r="K46" s="556" t="s">
        <v>548</v>
      </c>
      <c r="L46" s="555" t="s">
        <v>548</v>
      </c>
      <c r="M46" s="572">
        <v>360</v>
      </c>
      <c r="N46" s="592">
        <v>0</v>
      </c>
      <c r="O46" s="818" t="s">
        <v>611</v>
      </c>
      <c r="P46" s="717" t="str">
        <f>IF(O46=listas!$C$1,listas!$B$1,IF(O46=listas!$C$2,listas!$B$2,IF(O46=listas!$C$3,listas!$B$3,IF(O46=listas!$C$4,listas!$B$4,IF(O46=listas!$C$5,listas!$B$5,IF(O46=listas!$C$6,listas!$B$6,IF(O46=listas!$C$7,listas!$B$7,IF(O46=listas!$C$8,listas!$B$8,""))))))))</f>
        <v/>
      </c>
      <c r="Q46" s="691">
        <f>12*5600000-1117908</f>
        <v>66082092</v>
      </c>
      <c r="R46" s="689"/>
      <c r="S46" s="689"/>
      <c r="T46" s="689">
        <f>SUM(Q46:R46)</f>
        <v>66082092</v>
      </c>
      <c r="U46" s="691">
        <f>12*5600000-1117908</f>
        <v>66082092</v>
      </c>
      <c r="V46" s="689"/>
      <c r="W46" s="689"/>
      <c r="X46" s="689">
        <f>+U46+V46+W46</f>
        <v>66082092</v>
      </c>
      <c r="Y46" s="766">
        <v>43126</v>
      </c>
      <c r="Z46" s="813">
        <v>66</v>
      </c>
      <c r="AA46" s="691" t="s">
        <v>871</v>
      </c>
      <c r="AB46" s="691"/>
      <c r="AC46" s="689"/>
      <c r="AD46" s="689"/>
      <c r="AE46" s="689"/>
      <c r="AF46" s="719"/>
    </row>
    <row r="47" spans="1:32" ht="54.75" customHeight="1" x14ac:dyDescent="0.2">
      <c r="A47" s="1455"/>
      <c r="B47" s="1461"/>
      <c r="C47" s="714">
        <v>22</v>
      </c>
      <c r="D47" s="888" t="s">
        <v>642</v>
      </c>
      <c r="E47" s="558">
        <v>80131502</v>
      </c>
      <c r="F47" s="570" t="s">
        <v>754</v>
      </c>
      <c r="G47" s="551" t="s">
        <v>579</v>
      </c>
      <c r="H47" s="594">
        <v>10101</v>
      </c>
      <c r="I47" s="570" t="s">
        <v>845</v>
      </c>
      <c r="J47" s="594" t="s">
        <v>779</v>
      </c>
      <c r="K47" s="556" t="s">
        <v>548</v>
      </c>
      <c r="L47" s="560" t="s">
        <v>548</v>
      </c>
      <c r="M47" s="572">
        <v>360</v>
      </c>
      <c r="N47" s="592">
        <v>0</v>
      </c>
      <c r="O47" s="818" t="s">
        <v>611</v>
      </c>
      <c r="P47" s="717" t="str">
        <f>IF(O47=listas!$C$1,listas!$B$1,IF(O47=listas!$C$2,listas!$B$2,IF(O47=listas!$C$3,listas!$B$3,IF(O47=listas!$C$4,listas!$B$4,IF(O47=listas!$C$5,listas!$B$5,IF(O47=listas!$C$6,listas!$B$6,IF(O47=listas!$C$7,listas!$B$7,IF(O47=listas!$C$8,listas!$B$8,""))))))))</f>
        <v/>
      </c>
      <c r="Q47" s="691">
        <f>12*8012000-1825872</f>
        <v>94318128</v>
      </c>
      <c r="R47" s="689"/>
      <c r="S47" s="689"/>
      <c r="T47" s="689">
        <f>SUM(Q47:R47)</f>
        <v>94318128</v>
      </c>
      <c r="U47" s="691">
        <f>12*8012000-1825872</f>
        <v>94318128</v>
      </c>
      <c r="V47" s="689"/>
      <c r="W47" s="689"/>
      <c r="X47" s="689">
        <f t="shared" ref="X47:X50" si="6">+U47+V47+W47</f>
        <v>94318128</v>
      </c>
      <c r="Y47" s="766">
        <v>43126</v>
      </c>
      <c r="Z47" s="813">
        <v>67</v>
      </c>
      <c r="AA47" s="691" t="s">
        <v>871</v>
      </c>
      <c r="AB47" s="691"/>
      <c r="AC47" s="689"/>
      <c r="AD47" s="689"/>
      <c r="AE47" s="689"/>
      <c r="AF47" s="719"/>
    </row>
    <row r="48" spans="1:32" ht="60.75" customHeight="1" x14ac:dyDescent="0.2">
      <c r="A48" s="1455"/>
      <c r="B48" s="1461"/>
      <c r="C48" s="714">
        <v>23</v>
      </c>
      <c r="D48" s="888" t="s">
        <v>643</v>
      </c>
      <c r="E48" s="558">
        <v>80131502</v>
      </c>
      <c r="F48" s="570" t="s">
        <v>754</v>
      </c>
      <c r="G48" s="551" t="s">
        <v>579</v>
      </c>
      <c r="H48" s="594">
        <v>30303</v>
      </c>
      <c r="I48" s="570" t="s">
        <v>846</v>
      </c>
      <c r="J48" s="594" t="s">
        <v>779</v>
      </c>
      <c r="K48" s="556" t="s">
        <v>548</v>
      </c>
      <c r="L48" s="560" t="s">
        <v>548</v>
      </c>
      <c r="M48" s="572">
        <v>360</v>
      </c>
      <c r="N48" s="592">
        <v>0</v>
      </c>
      <c r="O48" s="818" t="s">
        <v>611</v>
      </c>
      <c r="P48" s="717" t="str">
        <f>IF(O48=listas!$C$1,listas!$B$1,IF(O48=listas!$C$2,listas!$B$2,IF(O48=listas!$C$3,listas!$B$3,IF(O48=listas!$C$4,listas!$B$4,IF(O48=listas!$C$5,listas!$B$5,IF(O48=listas!$C$6,listas!$B$6,IF(O48=listas!$C$7,listas!$B$7,IF(O48=listas!$C$8,listas!$B$8,""))))))))</f>
        <v/>
      </c>
      <c r="Q48" s="691">
        <f>12*12058000-2738784</f>
        <v>141957216</v>
      </c>
      <c r="R48" s="689"/>
      <c r="S48" s="689"/>
      <c r="T48" s="689">
        <f>SUM(Q48:R48)</f>
        <v>141957216</v>
      </c>
      <c r="U48" s="691">
        <f>12*12058000-2738784</f>
        <v>141957216</v>
      </c>
      <c r="V48" s="689"/>
      <c r="W48" s="689"/>
      <c r="X48" s="689">
        <f t="shared" si="6"/>
        <v>141957216</v>
      </c>
      <c r="Y48" s="766">
        <v>43126</v>
      </c>
      <c r="Z48" s="813">
        <v>68</v>
      </c>
      <c r="AA48" s="691" t="s">
        <v>871</v>
      </c>
      <c r="AB48" s="691"/>
      <c r="AC48" s="689"/>
      <c r="AD48" s="689"/>
      <c r="AE48" s="689"/>
      <c r="AF48" s="719"/>
    </row>
    <row r="49" spans="1:33" ht="46.5" customHeight="1" x14ac:dyDescent="0.2">
      <c r="A49" s="1455"/>
      <c r="B49" s="1461"/>
      <c r="C49" s="714">
        <v>24</v>
      </c>
      <c r="D49" s="888" t="s">
        <v>644</v>
      </c>
      <c r="E49" s="558">
        <v>80131502</v>
      </c>
      <c r="F49" s="570" t="s">
        <v>754</v>
      </c>
      <c r="G49" s="551" t="s">
        <v>579</v>
      </c>
      <c r="H49" s="594">
        <v>30302</v>
      </c>
      <c r="I49" s="570" t="s">
        <v>814</v>
      </c>
      <c r="J49" s="594" t="s">
        <v>779</v>
      </c>
      <c r="K49" s="556" t="s">
        <v>548</v>
      </c>
      <c r="L49" s="560" t="s">
        <v>548</v>
      </c>
      <c r="M49" s="572">
        <v>360</v>
      </c>
      <c r="N49" s="592">
        <v>0</v>
      </c>
      <c r="O49" s="818" t="s">
        <v>611</v>
      </c>
      <c r="P49" s="717" t="str">
        <f>IF(O49=listas!$C$1,listas!$B$1,IF(O49=listas!$C$2,listas!$B$2,IF(O49=listas!$C$3,listas!$B$3,IF(O49=listas!$C$4,listas!$B$4,IF(O49=listas!$C$5,listas!$B$5,IF(O49=listas!$C$6,listas!$B$6,IF(O49=listas!$C$7,listas!$B$7,IF(O49=listas!$C$8,listas!$B$8,""))))))))</f>
        <v/>
      </c>
      <c r="Q49" s="691">
        <f>12*7948000-1807680</f>
        <v>93568320</v>
      </c>
      <c r="R49" s="689"/>
      <c r="S49" s="689"/>
      <c r="T49" s="689">
        <f>SUM(Q49:R49)</f>
        <v>93568320</v>
      </c>
      <c r="U49" s="691">
        <f>12*7948000-1807680</f>
        <v>93568320</v>
      </c>
      <c r="V49" s="689"/>
      <c r="W49" s="689"/>
      <c r="X49" s="689">
        <f t="shared" si="6"/>
        <v>93568320</v>
      </c>
      <c r="Y49" s="766">
        <v>43126</v>
      </c>
      <c r="Z49" s="813">
        <v>69</v>
      </c>
      <c r="AA49" s="691" t="s">
        <v>871</v>
      </c>
      <c r="AB49" s="691"/>
      <c r="AC49" s="689"/>
      <c r="AD49" s="689"/>
      <c r="AE49" s="689"/>
      <c r="AF49" s="719"/>
    </row>
    <row r="50" spans="1:33" ht="15.75" customHeight="1" x14ac:dyDescent="0.2">
      <c r="A50" s="1455"/>
      <c r="B50" s="1461"/>
      <c r="C50" s="714">
        <v>25</v>
      </c>
      <c r="D50" s="561" t="s">
        <v>645</v>
      </c>
      <c r="E50" s="558" t="s">
        <v>700</v>
      </c>
      <c r="F50" s="570" t="s">
        <v>754</v>
      </c>
      <c r="G50" s="553" t="s">
        <v>579</v>
      </c>
      <c r="H50" s="570" t="s">
        <v>847</v>
      </c>
      <c r="I50" s="570" t="s">
        <v>848</v>
      </c>
      <c r="J50" s="594" t="s">
        <v>849</v>
      </c>
      <c r="K50" s="556" t="s">
        <v>548</v>
      </c>
      <c r="L50" s="560" t="s">
        <v>548</v>
      </c>
      <c r="M50" s="572">
        <v>360</v>
      </c>
      <c r="N50" s="592">
        <v>0</v>
      </c>
      <c r="O50" s="617" t="s">
        <v>700</v>
      </c>
      <c r="P50" s="617" t="s">
        <v>700</v>
      </c>
      <c r="Q50" s="691">
        <f>12*3570000+7490244</f>
        <v>50330244</v>
      </c>
      <c r="R50" s="689"/>
      <c r="S50" s="689"/>
      <c r="T50" s="689">
        <f>SUM(Q50:R50)</f>
        <v>50330244</v>
      </c>
      <c r="U50" s="691">
        <f>3482214+3482214+3482214+3482214+3482214+3482214+3482214+3482214+3482214+3482214+3482214+3482214</f>
        <v>41786568</v>
      </c>
      <c r="V50" s="689"/>
      <c r="W50" s="689"/>
      <c r="X50" s="689">
        <f t="shared" si="6"/>
        <v>41786568</v>
      </c>
      <c r="Y50" s="766"/>
      <c r="Z50" s="691"/>
      <c r="AA50" s="767"/>
      <c r="AB50" s="691"/>
      <c r="AC50" s="691"/>
      <c r="AD50" s="691"/>
      <c r="AE50" s="689"/>
      <c r="AF50" s="719"/>
    </row>
    <row r="51" spans="1:33" ht="15" customHeight="1" x14ac:dyDescent="0.2">
      <c r="A51" s="1455"/>
      <c r="B51" s="1461"/>
      <c r="C51" s="1468" t="s">
        <v>500</v>
      </c>
      <c r="D51" s="1469"/>
      <c r="E51" s="1469"/>
      <c r="F51" s="1469"/>
      <c r="G51" s="1469"/>
      <c r="H51" s="1469"/>
      <c r="I51" s="1469"/>
      <c r="J51" s="1469"/>
      <c r="K51" s="1469"/>
      <c r="L51" s="1469"/>
      <c r="M51" s="1469"/>
      <c r="N51" s="1469"/>
      <c r="O51" s="1470"/>
      <c r="P51" s="616"/>
      <c r="Q51" s="765">
        <f>SUM(Q46:Q50)</f>
        <v>446256000</v>
      </c>
      <c r="R51" s="765"/>
      <c r="S51" s="765"/>
      <c r="T51" s="765">
        <f>SUM(T46:T50)</f>
        <v>446256000</v>
      </c>
      <c r="U51" s="765">
        <f>SUM(U46:U50)</f>
        <v>437712324</v>
      </c>
      <c r="V51" s="765"/>
      <c r="W51" s="765"/>
      <c r="X51" s="765">
        <f>+U51+V51+W51</f>
        <v>437712324</v>
      </c>
      <c r="Y51" s="690"/>
      <c r="Z51" s="690"/>
      <c r="AA51" s="690"/>
      <c r="AB51" s="765">
        <v>404718506</v>
      </c>
      <c r="AC51" s="690"/>
      <c r="AD51" s="690"/>
      <c r="AE51" s="765">
        <f>+AB51+AC51+AD51</f>
        <v>404718506</v>
      </c>
      <c r="AF51" s="1093"/>
    </row>
    <row r="52" spans="1:33" ht="26.25" customHeight="1" x14ac:dyDescent="0.25">
      <c r="A52" s="1453">
        <v>120203</v>
      </c>
      <c r="B52" s="1461" t="s">
        <v>670</v>
      </c>
      <c r="C52" s="841">
        <v>26</v>
      </c>
      <c r="D52" s="562" t="s">
        <v>698</v>
      </c>
      <c r="E52" s="885">
        <v>81112101</v>
      </c>
      <c r="F52" s="845" t="s">
        <v>502</v>
      </c>
      <c r="G52" s="577" t="s">
        <v>556</v>
      </c>
      <c r="H52" s="725">
        <v>20102</v>
      </c>
      <c r="I52" s="885" t="s">
        <v>819</v>
      </c>
      <c r="J52" s="725" t="s">
        <v>850</v>
      </c>
      <c r="K52" s="571" t="s">
        <v>389</v>
      </c>
      <c r="L52" s="571" t="s">
        <v>358</v>
      </c>
      <c r="M52" s="572">
        <v>360</v>
      </c>
      <c r="N52" s="592">
        <v>0</v>
      </c>
      <c r="O52" s="885" t="s">
        <v>950</v>
      </c>
      <c r="P52" s="717" t="str">
        <f>IF(O52=listas!$C$1,listas!$B$1,IF(O52=listas!$C$2,listas!$B$2,IF(O52=listas!$C$3,listas!$B$3,IF(O52=listas!$C$4,listas!$B$4,IF(O52=listas!$C$5,listas!$B$5,IF(O52=listas!$C$6,listas!$B$6,IF(O52=listas!$C$7,listas!$B$7,IF(O52=listas!$C$8,listas!$B$8,""))))))))</f>
        <v>CCE-07</v>
      </c>
      <c r="Q52" s="689">
        <v>6293000</v>
      </c>
      <c r="R52" s="689"/>
      <c r="S52" s="689"/>
      <c r="T52" s="689">
        <f>+Q52+R52+S52</f>
        <v>6293000</v>
      </c>
      <c r="U52" s="689">
        <v>6293000</v>
      </c>
      <c r="V52" s="689"/>
      <c r="W52" s="689"/>
      <c r="X52" s="689">
        <f>+U52+V52+W52</f>
        <v>6293000</v>
      </c>
      <c r="Y52" s="882">
        <v>43290</v>
      </c>
      <c r="Z52" s="813">
        <v>78</v>
      </c>
      <c r="AA52" s="689" t="s">
        <v>988</v>
      </c>
      <c r="AB52" s="689"/>
      <c r="AC52" s="689"/>
      <c r="AD52" s="689"/>
      <c r="AE52" s="689"/>
      <c r="AF52" s="1092"/>
    </row>
    <row r="53" spans="1:33" ht="29.25" customHeight="1" x14ac:dyDescent="0.2">
      <c r="A53" s="1453"/>
      <c r="B53" s="1461"/>
      <c r="C53" s="877"/>
      <c r="D53" s="562" t="s">
        <v>986</v>
      </c>
      <c r="E53" s="885"/>
      <c r="F53" s="845"/>
      <c r="G53" s="577"/>
      <c r="H53" s="725"/>
      <c r="I53" s="885"/>
      <c r="J53" s="725"/>
      <c r="K53" s="571"/>
      <c r="L53" s="571"/>
      <c r="M53" s="572"/>
      <c r="N53" s="592"/>
      <c r="O53" s="885"/>
      <c r="P53" s="717"/>
      <c r="Q53" s="689">
        <f>37080000-6293000-30787000</f>
        <v>0</v>
      </c>
      <c r="R53" s="689"/>
      <c r="S53" s="689"/>
      <c r="T53" s="689">
        <f>+Q53+R53+S53</f>
        <v>0</v>
      </c>
      <c r="U53" s="689"/>
      <c r="V53" s="689"/>
      <c r="W53" s="689"/>
      <c r="X53" s="689"/>
      <c r="Y53" s="689"/>
      <c r="Z53" s="689"/>
      <c r="AA53" s="689"/>
      <c r="AB53" s="689"/>
      <c r="AC53" s="689"/>
      <c r="AD53" s="689"/>
      <c r="AE53" s="689"/>
    </row>
    <row r="54" spans="1:33" ht="39" customHeight="1" x14ac:dyDescent="0.2">
      <c r="A54" s="1453"/>
      <c r="B54" s="1461"/>
      <c r="C54" s="714">
        <v>27</v>
      </c>
      <c r="D54" s="552" t="s">
        <v>646</v>
      </c>
      <c r="E54" s="885">
        <v>78102203</v>
      </c>
      <c r="F54" s="885" t="s">
        <v>676</v>
      </c>
      <c r="G54" s="577" t="s">
        <v>647</v>
      </c>
      <c r="H54" s="725">
        <v>30303</v>
      </c>
      <c r="I54" s="725" t="s">
        <v>846</v>
      </c>
      <c r="J54" s="725" t="s">
        <v>850</v>
      </c>
      <c r="K54" s="571" t="s">
        <v>550</v>
      </c>
      <c r="L54" s="571" t="s">
        <v>551</v>
      </c>
      <c r="M54" s="572">
        <v>210</v>
      </c>
      <c r="N54" s="592">
        <v>0</v>
      </c>
      <c r="O54" s="885" t="s">
        <v>597</v>
      </c>
      <c r="P54" s="717" t="str">
        <f>IF(O54=listas!$C$1,listas!$B$1,IF(O54=listas!$C$2,listas!$B$2,IF(O54=listas!$C$3,listas!$B$3,IF(O54=listas!$C$4,listas!$B$4,IF(O54=listas!$C$5,listas!$B$5,IF(O54=listas!$C$6,listas!$B$6,IF(O54=listas!$C$7,listas!$B$7,IF(O54=listas!$C$8,listas!$B$8,""))))))))</f>
        <v>CCE-10</v>
      </c>
      <c r="Q54" s="689">
        <f>7640000-7640000</f>
        <v>0</v>
      </c>
      <c r="R54" s="689"/>
      <c r="S54" s="689"/>
      <c r="T54" s="689">
        <f>+Q54+R54+S54</f>
        <v>0</v>
      </c>
      <c r="U54" s="689"/>
      <c r="V54" s="689"/>
      <c r="W54" s="689"/>
      <c r="X54" s="689"/>
      <c r="Y54" s="689"/>
      <c r="Z54" s="689"/>
      <c r="AA54" s="689"/>
      <c r="AB54" s="689"/>
      <c r="AC54" s="689"/>
      <c r="AD54" s="689"/>
      <c r="AE54" s="689"/>
    </row>
    <row r="55" spans="1:33" ht="27.75" customHeight="1" x14ac:dyDescent="0.2">
      <c r="A55" s="1453"/>
      <c r="B55" s="1461"/>
      <c r="C55" s="714">
        <v>28</v>
      </c>
      <c r="D55" s="562" t="s">
        <v>648</v>
      </c>
      <c r="E55" s="885" t="s">
        <v>700</v>
      </c>
      <c r="F55" s="885" t="s">
        <v>626</v>
      </c>
      <c r="G55" s="573" t="s">
        <v>627</v>
      </c>
      <c r="H55" s="885" t="s">
        <v>851</v>
      </c>
      <c r="I55" s="885" t="s">
        <v>852</v>
      </c>
      <c r="J55" s="885" t="s">
        <v>850</v>
      </c>
      <c r="K55" s="571" t="s">
        <v>548</v>
      </c>
      <c r="L55" s="572" t="s">
        <v>548</v>
      </c>
      <c r="M55" s="572">
        <v>360</v>
      </c>
      <c r="N55" s="592">
        <v>0</v>
      </c>
      <c r="O55" s="885" t="s">
        <v>700</v>
      </c>
      <c r="P55" s="885" t="s">
        <v>700</v>
      </c>
      <c r="Q55" s="689">
        <f>2200000-29920</f>
        <v>2170080</v>
      </c>
      <c r="R55" s="689"/>
      <c r="S55" s="689"/>
      <c r="T55" s="689">
        <f>+Q55+R55+S55</f>
        <v>2170080</v>
      </c>
      <c r="U55" s="689">
        <f>1486270+185710+186170+186060+185710</f>
        <v>2229920</v>
      </c>
      <c r="V55" s="689"/>
      <c r="W55" s="689"/>
      <c r="X55" s="689">
        <f>+U55+V55+W55</f>
        <v>2229920</v>
      </c>
      <c r="Y55" s="689"/>
      <c r="Z55" s="689"/>
      <c r="AA55" s="689"/>
      <c r="AB55" s="689"/>
      <c r="AC55" s="689"/>
      <c r="AD55" s="689"/>
      <c r="AE55" s="689">
        <f>+AB55+AC55+AD55</f>
        <v>0</v>
      </c>
    </row>
    <row r="56" spans="1:33" ht="15.75" customHeight="1" x14ac:dyDescent="0.2">
      <c r="A56" s="1453"/>
      <c r="B56" s="1461"/>
      <c r="C56" s="714">
        <v>29</v>
      </c>
      <c r="D56" s="576" t="s">
        <v>628</v>
      </c>
      <c r="E56" s="885" t="s">
        <v>700</v>
      </c>
      <c r="F56" s="885" t="s">
        <v>629</v>
      </c>
      <c r="G56" s="573" t="s">
        <v>702</v>
      </c>
      <c r="H56" s="885" t="s">
        <v>842</v>
      </c>
      <c r="I56" s="885" t="s">
        <v>843</v>
      </c>
      <c r="J56" s="885" t="s">
        <v>850</v>
      </c>
      <c r="K56" s="571" t="s">
        <v>548</v>
      </c>
      <c r="L56" s="572" t="s">
        <v>548</v>
      </c>
      <c r="M56" s="572">
        <v>360</v>
      </c>
      <c r="N56" s="592">
        <v>0</v>
      </c>
      <c r="O56" s="885" t="s">
        <v>700</v>
      </c>
      <c r="P56" s="885" t="s">
        <v>700</v>
      </c>
      <c r="Q56" s="689">
        <f>4400000-29920+59840</f>
        <v>4429920</v>
      </c>
      <c r="R56" s="689"/>
      <c r="S56" s="689"/>
      <c r="T56" s="689">
        <f>+Q56+R56+S56</f>
        <v>4429920</v>
      </c>
      <c r="U56" s="689">
        <f>691550+705200+166200+252200+159350+220900+203100</f>
        <v>2398500</v>
      </c>
      <c r="V56" s="689"/>
      <c r="W56" s="689"/>
      <c r="X56" s="689">
        <f>+U56+V56+W56</f>
        <v>2398500</v>
      </c>
      <c r="Y56" s="689"/>
      <c r="Z56" s="689"/>
      <c r="AA56" s="689"/>
      <c r="AB56" s="689"/>
      <c r="AC56" s="689"/>
      <c r="AD56" s="689"/>
      <c r="AE56" s="689">
        <f>+AB56+AC56+AD56</f>
        <v>0</v>
      </c>
    </row>
    <row r="57" spans="1:33" ht="15" customHeight="1" x14ac:dyDescent="0.2">
      <c r="A57" s="1453"/>
      <c r="B57" s="1461"/>
      <c r="C57" s="1468" t="s">
        <v>500</v>
      </c>
      <c r="D57" s="1469"/>
      <c r="E57" s="1469"/>
      <c r="F57" s="1469"/>
      <c r="G57" s="1469"/>
      <c r="H57" s="1469"/>
      <c r="I57" s="1469"/>
      <c r="J57" s="1469"/>
      <c r="K57" s="1469"/>
      <c r="L57" s="1469"/>
      <c r="M57" s="1469"/>
      <c r="N57" s="1469"/>
      <c r="O57" s="1470"/>
      <c r="P57" s="616"/>
      <c r="Q57" s="1069">
        <f>+Q52+Q53+Q54+Q55+Q56</f>
        <v>12893000</v>
      </c>
      <c r="R57" s="1069"/>
      <c r="S57" s="1069"/>
      <c r="T57" s="1069">
        <f>SUM(T52:T56)</f>
        <v>12893000</v>
      </c>
      <c r="U57" s="1069">
        <f>+U52+U54+U55+U56</f>
        <v>10921420</v>
      </c>
      <c r="V57" s="1069"/>
      <c r="W57" s="1069"/>
      <c r="X57" s="1069">
        <f>+X52+X54+X55+X56</f>
        <v>10921420</v>
      </c>
      <c r="Y57" s="692"/>
      <c r="Z57" s="692"/>
      <c r="AA57" s="692"/>
      <c r="AB57" s="1069">
        <v>8224420</v>
      </c>
      <c r="AC57" s="1069"/>
      <c r="AD57" s="1069"/>
      <c r="AE57" s="1069">
        <f>+AB57+AC57+AD57</f>
        <v>8224420</v>
      </c>
      <c r="AG57" s="719"/>
    </row>
    <row r="58" spans="1:33" ht="51.75" customHeight="1" x14ac:dyDescent="0.2">
      <c r="A58" s="1454">
        <v>120204</v>
      </c>
      <c r="B58" s="1462" t="s">
        <v>649</v>
      </c>
      <c r="C58" s="869">
        <v>30</v>
      </c>
      <c r="D58" s="562" t="s">
        <v>650</v>
      </c>
      <c r="E58" s="885">
        <v>80161801</v>
      </c>
      <c r="F58" s="885" t="s">
        <v>626</v>
      </c>
      <c r="G58" s="816" t="s">
        <v>627</v>
      </c>
      <c r="H58" s="885" t="s">
        <v>853</v>
      </c>
      <c r="I58" s="885" t="s">
        <v>854</v>
      </c>
      <c r="J58" s="885" t="s">
        <v>855</v>
      </c>
      <c r="K58" s="571" t="s">
        <v>549</v>
      </c>
      <c r="L58" s="572" t="s">
        <v>549</v>
      </c>
      <c r="M58" s="572">
        <v>9</v>
      </c>
      <c r="N58" s="592">
        <v>1</v>
      </c>
      <c r="O58" s="885" t="s">
        <v>597</v>
      </c>
      <c r="P58" s="717" t="str">
        <f>IF(O58=listas!$C$1,listas!$B$1,IF(O58=listas!$C$2,listas!$B$2,IF(O58=listas!$C$3,listas!$B$3,IF(O58=listas!$C$4,listas!$B$4,IF(O58=listas!$C$5,listas!$B$5,IF(O58=listas!$C$6,listas!$B$6,IF(O58=listas!$C$7,listas!$B$7,IF(O58=listas!$C$8,listas!$B$8,""))))))))</f>
        <v>CCE-10</v>
      </c>
      <c r="Q58" s="694">
        <v>5783400</v>
      </c>
      <c r="R58" s="694"/>
      <c r="S58" s="694"/>
      <c r="T58" s="694">
        <f>+Q58+R58+S58</f>
        <v>5783400</v>
      </c>
      <c r="U58" s="694">
        <v>5783400</v>
      </c>
      <c r="V58" s="694"/>
      <c r="W58" s="694"/>
      <c r="X58" s="694">
        <f>+U58+V58+W58</f>
        <v>5783400</v>
      </c>
      <c r="Y58" s="766">
        <v>43248</v>
      </c>
      <c r="Z58" s="813">
        <v>75</v>
      </c>
      <c r="AA58" s="694" t="s">
        <v>981</v>
      </c>
      <c r="AB58" s="694"/>
      <c r="AC58" s="694"/>
      <c r="AD58" s="694"/>
      <c r="AE58" s="694"/>
    </row>
    <row r="59" spans="1:33" ht="18.75" customHeight="1" x14ac:dyDescent="0.2">
      <c r="A59" s="1455"/>
      <c r="B59" s="1463"/>
      <c r="C59" s="877"/>
      <c r="D59" s="1165" t="s">
        <v>1103</v>
      </c>
      <c r="E59" s="885"/>
      <c r="F59" s="885"/>
      <c r="G59" s="816"/>
      <c r="H59" s="885"/>
      <c r="I59" s="885"/>
      <c r="J59" s="885"/>
      <c r="K59" s="571"/>
      <c r="L59" s="572"/>
      <c r="M59" s="572"/>
      <c r="N59" s="592"/>
      <c r="O59" s="885"/>
      <c r="P59" s="717"/>
      <c r="Q59" s="694">
        <f>11350000-5783400-5500000</f>
        <v>66600</v>
      </c>
      <c r="R59" s="694"/>
      <c r="S59" s="694"/>
      <c r="T59" s="694">
        <f>+Q59+R59+S59</f>
        <v>66600</v>
      </c>
      <c r="U59" s="694"/>
      <c r="V59" s="694"/>
      <c r="W59" s="694"/>
      <c r="X59" s="694"/>
      <c r="Y59" s="766"/>
      <c r="Z59" s="813"/>
      <c r="AA59" s="694"/>
      <c r="AB59" s="694"/>
      <c r="AC59" s="694"/>
      <c r="AD59" s="694"/>
      <c r="AE59" s="694"/>
    </row>
    <row r="60" spans="1:33" ht="21" customHeight="1" x14ac:dyDescent="0.2">
      <c r="A60" s="1455"/>
      <c r="B60" s="1463"/>
      <c r="C60" s="820">
        <v>31</v>
      </c>
      <c r="D60" s="817" t="s">
        <v>968</v>
      </c>
      <c r="E60" s="885">
        <v>30303</v>
      </c>
      <c r="F60" s="885" t="s">
        <v>676</v>
      </c>
      <c r="G60" s="816" t="s">
        <v>647</v>
      </c>
      <c r="H60" s="885">
        <v>30303</v>
      </c>
      <c r="I60" s="885" t="s">
        <v>846</v>
      </c>
      <c r="J60" s="885" t="s">
        <v>778</v>
      </c>
      <c r="K60" s="571" t="s">
        <v>548</v>
      </c>
      <c r="L60" s="572" t="s">
        <v>548</v>
      </c>
      <c r="M60" s="572">
        <v>360</v>
      </c>
      <c r="N60" s="592">
        <v>0</v>
      </c>
      <c r="O60" s="886" t="s">
        <v>700</v>
      </c>
      <c r="P60" s="886" t="s">
        <v>700</v>
      </c>
      <c r="Q60" s="694">
        <f>1050000-350000</f>
        <v>700000</v>
      </c>
      <c r="R60" s="694"/>
      <c r="S60" s="694"/>
      <c r="T60" s="694">
        <f t="shared" ref="T60:T68" si="7">+Q60+R60+S60</f>
        <v>700000</v>
      </c>
      <c r="U60" s="694">
        <v>495000</v>
      </c>
      <c r="V60" s="694"/>
      <c r="W60" s="694"/>
      <c r="X60" s="694">
        <f>+U60+V60+W60</f>
        <v>495000</v>
      </c>
      <c r="Y60" s="694"/>
      <c r="Z60" s="694"/>
      <c r="AA60" s="694"/>
      <c r="AB60" s="694"/>
      <c r="AC60" s="694"/>
      <c r="AD60" s="694"/>
      <c r="AE60" s="694"/>
    </row>
    <row r="61" spans="1:33" ht="21" customHeight="1" x14ac:dyDescent="0.2">
      <c r="A61" s="1455"/>
      <c r="B61" s="1463"/>
      <c r="C61" s="820">
        <v>32</v>
      </c>
      <c r="D61" s="576" t="s">
        <v>628</v>
      </c>
      <c r="E61" s="885" t="s">
        <v>700</v>
      </c>
      <c r="F61" s="885" t="s">
        <v>629</v>
      </c>
      <c r="G61" s="573" t="s">
        <v>702</v>
      </c>
      <c r="H61" s="885" t="s">
        <v>842</v>
      </c>
      <c r="I61" s="885" t="s">
        <v>843</v>
      </c>
      <c r="J61" s="885" t="s">
        <v>778</v>
      </c>
      <c r="K61" s="571" t="s">
        <v>548</v>
      </c>
      <c r="L61" s="572" t="s">
        <v>548</v>
      </c>
      <c r="M61" s="572">
        <v>360</v>
      </c>
      <c r="N61" s="592">
        <v>0</v>
      </c>
      <c r="O61" s="886" t="s">
        <v>700</v>
      </c>
      <c r="P61" s="885" t="s">
        <v>700</v>
      </c>
      <c r="Q61" s="694">
        <v>2750000</v>
      </c>
      <c r="R61" s="694"/>
      <c r="S61" s="694"/>
      <c r="T61" s="694">
        <f t="shared" si="7"/>
        <v>2750000</v>
      </c>
      <c r="U61" s="694">
        <v>250600</v>
      </c>
      <c r="V61" s="694"/>
      <c r="W61" s="694"/>
      <c r="X61" s="694">
        <f>+U61+V61+W61</f>
        <v>250600</v>
      </c>
      <c r="Y61" s="694"/>
      <c r="Z61" s="694"/>
      <c r="AA61" s="694">
        <f>+Y61+Z60+Z61</f>
        <v>0</v>
      </c>
      <c r="AB61" s="694"/>
      <c r="AC61" s="694"/>
      <c r="AD61" s="694"/>
      <c r="AE61" s="694"/>
    </row>
    <row r="62" spans="1:33" ht="15" customHeight="1" x14ac:dyDescent="0.2">
      <c r="A62" s="1456"/>
      <c r="B62" s="1464"/>
      <c r="C62" s="1457" t="s">
        <v>500</v>
      </c>
      <c r="D62" s="1458"/>
      <c r="E62" s="1458"/>
      <c r="F62" s="1458"/>
      <c r="G62" s="1458"/>
      <c r="H62" s="1458"/>
      <c r="I62" s="1458"/>
      <c r="J62" s="1458"/>
      <c r="K62" s="1458"/>
      <c r="L62" s="1458"/>
      <c r="M62" s="1458"/>
      <c r="N62" s="1458"/>
      <c r="O62" s="1458"/>
      <c r="P62" s="1458"/>
      <c r="Q62" s="1070">
        <f>+Q58+Q59+Q60+Q61</f>
        <v>9300000</v>
      </c>
      <c r="R62" s="1070">
        <f t="shared" ref="R62:T62" si="8">+R58+R59+R60+R61</f>
        <v>0</v>
      </c>
      <c r="S62" s="1070">
        <f t="shared" si="8"/>
        <v>0</v>
      </c>
      <c r="T62" s="1070">
        <f t="shared" si="8"/>
        <v>9300000</v>
      </c>
      <c r="U62" s="1071">
        <f>+U58+U60+U61</f>
        <v>6529000</v>
      </c>
      <c r="V62" s="1071"/>
      <c r="W62" s="1071"/>
      <c r="X62" s="1071">
        <f t="shared" ref="X62" si="9">+U62+V62+W62</f>
        <v>6529000</v>
      </c>
      <c r="Y62" s="1071"/>
      <c r="Z62" s="1071"/>
      <c r="AA62" s="1071"/>
      <c r="AB62" s="1071">
        <v>4268761</v>
      </c>
      <c r="AC62" s="1071"/>
      <c r="AD62" s="1071"/>
      <c r="AE62" s="1071">
        <f t="shared" ref="AE62" si="10">+AB62+AC62+AD62</f>
        <v>4268761</v>
      </c>
    </row>
    <row r="63" spans="1:33" ht="36" customHeight="1" x14ac:dyDescent="0.25">
      <c r="A63" s="1454">
        <v>312020501</v>
      </c>
      <c r="B63" s="1462" t="s">
        <v>651</v>
      </c>
      <c r="C63" s="869">
        <v>33</v>
      </c>
      <c r="D63" s="552" t="s">
        <v>652</v>
      </c>
      <c r="E63" s="885" t="s">
        <v>653</v>
      </c>
      <c r="F63" s="885" t="s">
        <v>626</v>
      </c>
      <c r="G63" s="551" t="s">
        <v>627</v>
      </c>
      <c r="H63" s="885">
        <v>1010804</v>
      </c>
      <c r="I63" s="885" t="s">
        <v>838</v>
      </c>
      <c r="J63" s="885" t="s">
        <v>856</v>
      </c>
      <c r="K63" s="571" t="s">
        <v>549</v>
      </c>
      <c r="L63" s="572" t="s">
        <v>549</v>
      </c>
      <c r="M63" s="572">
        <v>10</v>
      </c>
      <c r="N63" s="592">
        <v>1</v>
      </c>
      <c r="O63" s="869" t="s">
        <v>950</v>
      </c>
      <c r="P63" s="717" t="str">
        <f>IF(O63=listas!$C$1,listas!$B$1,IF(O63=listas!$C$2,listas!$B$2,IF(O63=listas!$C$3,listas!$B$3,IF(O63=listas!$C$4,listas!$B$4,IF(O63=listas!$C$5,listas!$B$5,IF(O63=listas!$C$6,listas!$B$6,IF(O63=listas!$C$7,listas!$B$7,IF(O63=listas!$C$8,listas!$B$8,""))))))))</f>
        <v>CCE-07</v>
      </c>
      <c r="Q63" s="691">
        <v>39507908</v>
      </c>
      <c r="R63" s="694"/>
      <c r="S63" s="694"/>
      <c r="T63" s="694">
        <f t="shared" si="7"/>
        <v>39507908</v>
      </c>
      <c r="U63" s="691">
        <v>39507908</v>
      </c>
      <c r="V63" s="694"/>
      <c r="W63" s="694"/>
      <c r="X63" s="694">
        <f>+U63+V63+W63</f>
        <v>39507908</v>
      </c>
      <c r="Y63" s="766">
        <v>43248</v>
      </c>
      <c r="Z63" s="813">
        <v>74</v>
      </c>
      <c r="AA63" s="694" t="s">
        <v>982</v>
      </c>
      <c r="AB63" s="694"/>
      <c r="AC63" s="694"/>
      <c r="AD63" s="694"/>
      <c r="AE63" s="694"/>
      <c r="AF63" s="1091"/>
    </row>
    <row r="64" spans="1:33" ht="9" customHeight="1" x14ac:dyDescent="0.2">
      <c r="A64" s="1455"/>
      <c r="B64" s="1463"/>
      <c r="C64" s="878"/>
      <c r="D64" s="576" t="s">
        <v>1102</v>
      </c>
      <c r="E64" s="885"/>
      <c r="F64" s="885"/>
      <c r="G64" s="551"/>
      <c r="H64" s="885"/>
      <c r="I64" s="885"/>
      <c r="J64" s="885"/>
      <c r="K64" s="571"/>
      <c r="L64" s="572"/>
      <c r="M64" s="572"/>
      <c r="N64" s="592"/>
      <c r="O64" s="878"/>
      <c r="P64" s="717"/>
      <c r="Q64" s="691">
        <f>45000000-U63-5492092</f>
        <v>0</v>
      </c>
      <c r="R64" s="694"/>
      <c r="S64" s="694"/>
      <c r="T64" s="694">
        <f>+Q64+R64+S64</f>
        <v>0</v>
      </c>
      <c r="U64" s="691"/>
      <c r="V64" s="694"/>
      <c r="W64" s="694"/>
      <c r="X64" s="694"/>
      <c r="Y64" s="766"/>
      <c r="Z64" s="813"/>
      <c r="AA64" s="694"/>
      <c r="AB64" s="694"/>
      <c r="AC64" s="694"/>
      <c r="AD64" s="694"/>
      <c r="AE64" s="694"/>
    </row>
    <row r="65" spans="1:31" ht="37.5" customHeight="1" x14ac:dyDescent="0.2">
      <c r="A65" s="1455"/>
      <c r="B65" s="1463"/>
      <c r="C65" s="869">
        <v>34</v>
      </c>
      <c r="D65" s="552" t="s">
        <v>963</v>
      </c>
      <c r="E65" s="885">
        <v>78181500</v>
      </c>
      <c r="F65" s="885" t="s">
        <v>626</v>
      </c>
      <c r="G65" s="551" t="s">
        <v>627</v>
      </c>
      <c r="H65" s="885">
        <v>30201</v>
      </c>
      <c r="I65" s="885" t="s">
        <v>836</v>
      </c>
      <c r="J65" s="885" t="s">
        <v>835</v>
      </c>
      <c r="K65" s="571" t="s">
        <v>389</v>
      </c>
      <c r="L65" s="572" t="s">
        <v>389</v>
      </c>
      <c r="M65" s="572">
        <v>6</v>
      </c>
      <c r="N65" s="592">
        <v>1</v>
      </c>
      <c r="O65" s="869" t="s">
        <v>597</v>
      </c>
      <c r="P65" s="717" t="str">
        <f>IF(O65=listas!$C$1,listas!$B$1,IF(O65=listas!$C$2,listas!$B$2,IF(O65=listas!$C$3,listas!$B$3,IF(O65=listas!$C$4,listas!$B$4,IF(O65=listas!$C$5,listas!$B$5,IF(O65=listas!$C$6,listas!$B$6,IF(O65=listas!$C$7,listas!$B$7,IF(O65=listas!$C$8,listas!$B$8,""))))))))</f>
        <v>CCE-10</v>
      </c>
      <c r="Q65" s="691">
        <v>4737011</v>
      </c>
      <c r="R65" s="694"/>
      <c r="S65" s="694"/>
      <c r="T65" s="694">
        <f t="shared" si="7"/>
        <v>4737011</v>
      </c>
      <c r="U65" s="691">
        <v>4737011</v>
      </c>
      <c r="V65" s="694"/>
      <c r="W65" s="694"/>
      <c r="X65" s="694">
        <f>+U65+V65+W65</f>
        <v>4737011</v>
      </c>
      <c r="Y65" s="766">
        <v>43293</v>
      </c>
      <c r="Z65" s="813">
        <v>79</v>
      </c>
      <c r="AA65" s="694" t="s">
        <v>991</v>
      </c>
      <c r="AB65" s="694"/>
      <c r="AC65" s="694"/>
      <c r="AD65" s="694"/>
      <c r="AE65" s="694"/>
    </row>
    <row r="66" spans="1:31" ht="37.5" customHeight="1" x14ac:dyDescent="0.2">
      <c r="A66" s="1455"/>
      <c r="B66" s="1463"/>
      <c r="C66" s="1014"/>
      <c r="D66" s="552" t="s">
        <v>1101</v>
      </c>
      <c r="E66" s="1014"/>
      <c r="F66" s="1014"/>
      <c r="G66" s="1016"/>
      <c r="H66" s="1014"/>
      <c r="I66" s="1014"/>
      <c r="J66" s="1014"/>
      <c r="K66" s="571"/>
      <c r="L66" s="572"/>
      <c r="M66" s="572"/>
      <c r="N66" s="592"/>
      <c r="O66" s="1014"/>
      <c r="P66" s="717"/>
      <c r="Q66" s="691">
        <f>6774000-4737011-2036989</f>
        <v>0</v>
      </c>
      <c r="R66" s="694"/>
      <c r="S66" s="694"/>
      <c r="T66" s="694">
        <f>+Q66+S66</f>
        <v>0</v>
      </c>
      <c r="U66" s="691"/>
      <c r="V66" s="694"/>
      <c r="W66" s="694"/>
      <c r="X66" s="694"/>
      <c r="Y66" s="766"/>
      <c r="Z66" s="813"/>
      <c r="AA66" s="694"/>
      <c r="AB66" s="694"/>
      <c r="AC66" s="694"/>
      <c r="AD66" s="694"/>
      <c r="AE66" s="694"/>
    </row>
    <row r="67" spans="1:31" ht="25.5" customHeight="1" x14ac:dyDescent="0.2">
      <c r="A67" s="1455"/>
      <c r="B67" s="1463"/>
      <c r="C67" s="820">
        <v>35</v>
      </c>
      <c r="D67" s="576" t="s">
        <v>628</v>
      </c>
      <c r="E67" s="885" t="s">
        <v>700</v>
      </c>
      <c r="F67" s="885" t="s">
        <v>629</v>
      </c>
      <c r="G67" s="573" t="s">
        <v>702</v>
      </c>
      <c r="H67" s="885" t="s">
        <v>842</v>
      </c>
      <c r="I67" s="885" t="s">
        <v>843</v>
      </c>
      <c r="J67" s="885" t="s">
        <v>835</v>
      </c>
      <c r="K67" s="571" t="s">
        <v>548</v>
      </c>
      <c r="L67" s="572" t="s">
        <v>548</v>
      </c>
      <c r="M67" s="572">
        <v>360</v>
      </c>
      <c r="N67" s="592">
        <v>0</v>
      </c>
      <c r="O67" s="569"/>
      <c r="P67" s="617" t="s">
        <v>700</v>
      </c>
      <c r="Q67" s="691">
        <v>2750000</v>
      </c>
      <c r="R67" s="694"/>
      <c r="S67" s="694"/>
      <c r="T67" s="694">
        <f t="shared" si="7"/>
        <v>2750000</v>
      </c>
      <c r="U67" s="691">
        <f>142800+140000+112000+152000+72750+142800</f>
        <v>762350</v>
      </c>
      <c r="V67" s="694"/>
      <c r="W67" s="694"/>
      <c r="X67" s="694">
        <f>+U67+V67+W67</f>
        <v>762350</v>
      </c>
      <c r="Y67" s="694"/>
      <c r="Z67" s="691"/>
      <c r="AA67" s="694"/>
      <c r="AB67" s="694"/>
      <c r="AC67" s="694"/>
      <c r="AD67" s="694"/>
      <c r="AE67" s="694"/>
    </row>
    <row r="68" spans="1:31" ht="25.5" customHeight="1" x14ac:dyDescent="0.2">
      <c r="A68" s="1455"/>
      <c r="B68" s="1463"/>
      <c r="C68" s="1063"/>
      <c r="D68" s="1064"/>
      <c r="E68" s="1065"/>
      <c r="F68" s="1065"/>
      <c r="G68" s="1072"/>
      <c r="H68" s="1065"/>
      <c r="I68" s="1065"/>
      <c r="J68" s="1065"/>
      <c r="K68" s="1066"/>
      <c r="L68" s="1067"/>
      <c r="M68" s="1067"/>
      <c r="N68" s="1068"/>
      <c r="O68" s="1073"/>
      <c r="P68" s="1074"/>
      <c r="Q68" s="691">
        <v>26081</v>
      </c>
      <c r="R68" s="694"/>
      <c r="S68" s="694"/>
      <c r="T68" s="694">
        <f t="shared" si="7"/>
        <v>26081</v>
      </c>
      <c r="U68" s="691"/>
      <c r="V68" s="694"/>
      <c r="W68" s="694"/>
      <c r="X68" s="694"/>
      <c r="Y68" s="694"/>
      <c r="Z68" s="691"/>
      <c r="AA68" s="694"/>
      <c r="AB68" s="694"/>
      <c r="AC68" s="694"/>
      <c r="AD68" s="694"/>
      <c r="AE68" s="694"/>
    </row>
    <row r="69" spans="1:31" ht="14.25" customHeight="1" x14ac:dyDescent="0.2">
      <c r="A69" s="1456"/>
      <c r="B69" s="1464"/>
      <c r="C69" s="1457" t="s">
        <v>500</v>
      </c>
      <c r="D69" s="1458"/>
      <c r="E69" s="1458"/>
      <c r="F69" s="1458"/>
      <c r="G69" s="1458"/>
      <c r="H69" s="1458"/>
      <c r="I69" s="1458"/>
      <c r="J69" s="1458"/>
      <c r="K69" s="1458"/>
      <c r="L69" s="1458"/>
      <c r="M69" s="1458"/>
      <c r="N69" s="1458"/>
      <c r="O69" s="1458"/>
      <c r="P69" s="1459"/>
      <c r="Q69" s="1069">
        <f>SUM(Q63:Q68)</f>
        <v>47021000</v>
      </c>
      <c r="R69" s="1069">
        <f t="shared" ref="R69:T69" si="11">SUM(R63:R68)</f>
        <v>0</v>
      </c>
      <c r="S69" s="1069">
        <f t="shared" si="11"/>
        <v>0</v>
      </c>
      <c r="T69" s="1069">
        <f t="shared" si="11"/>
        <v>47021000</v>
      </c>
      <c r="U69" s="1069">
        <f>+U63+U65+U67</f>
        <v>45007269</v>
      </c>
      <c r="V69" s="1069"/>
      <c r="W69" s="1069"/>
      <c r="X69" s="1069">
        <f>+X63+X65+X67</f>
        <v>45007269</v>
      </c>
      <c r="Y69" s="1069"/>
      <c r="Z69" s="1069"/>
      <c r="AA69" s="1069"/>
      <c r="AB69" s="1069">
        <v>24384845</v>
      </c>
      <c r="AC69" s="1069">
        <f t="shared" ref="AC69:AD69" si="12">+AC63+AC65+AC67</f>
        <v>0</v>
      </c>
      <c r="AD69" s="1069">
        <f t="shared" si="12"/>
        <v>0</v>
      </c>
      <c r="AE69" s="1069">
        <f>+AB69+AC69+AD69</f>
        <v>24384845</v>
      </c>
    </row>
    <row r="70" spans="1:31" ht="20.25" customHeight="1" x14ac:dyDescent="0.2">
      <c r="A70" s="1454">
        <v>12020601</v>
      </c>
      <c r="B70" s="1462" t="s">
        <v>671</v>
      </c>
      <c r="C70" s="820">
        <v>36</v>
      </c>
      <c r="D70" s="562" t="s">
        <v>1147</v>
      </c>
      <c r="E70" s="885">
        <v>84131501</v>
      </c>
      <c r="F70" s="885" t="s">
        <v>754</v>
      </c>
      <c r="G70" s="551" t="s">
        <v>579</v>
      </c>
      <c r="H70" s="725">
        <v>10101</v>
      </c>
      <c r="I70" s="885" t="s">
        <v>829</v>
      </c>
      <c r="J70" s="725" t="s">
        <v>857</v>
      </c>
      <c r="K70" s="571" t="s">
        <v>552</v>
      </c>
      <c r="L70" s="572" t="s">
        <v>552</v>
      </c>
      <c r="M70" s="572">
        <v>200</v>
      </c>
      <c r="N70" s="592">
        <v>0</v>
      </c>
      <c r="O70" s="885" t="s">
        <v>610</v>
      </c>
      <c r="P70" s="717" t="str">
        <f>IF(O70=listas!$C$1,listas!$B$1,IF(O70=listas!$C$2,listas!$B$2,IF(O70=listas!$C$3,listas!$B$3,IF(O70=listas!$C$4,listas!$B$4,IF(O70=listas!$C$5,listas!$B$5,IF(O70=listas!$C$6,listas!$B$6,IF(O70=listas!$C$7,listas!$B$7,IF(O70=listas!$C$8,listas!$B$8,""))))))))</f>
        <v>CCE-04</v>
      </c>
      <c r="Q70" s="691"/>
      <c r="R70" s="694"/>
      <c r="S70" s="694"/>
      <c r="T70" s="694"/>
      <c r="U70" s="691"/>
      <c r="V70" s="694"/>
      <c r="W70" s="694"/>
      <c r="X70" s="694"/>
      <c r="Y70" s="694"/>
      <c r="Z70" s="691"/>
      <c r="AA70" s="694"/>
      <c r="AB70" s="694"/>
      <c r="AC70" s="694"/>
      <c r="AD70" s="694"/>
      <c r="AE70" s="694"/>
    </row>
    <row r="71" spans="1:31" ht="92.25" customHeight="1" x14ac:dyDescent="0.2">
      <c r="A71" s="1455"/>
      <c r="B71" s="1463"/>
      <c r="C71" s="820">
        <v>37</v>
      </c>
      <c r="D71" s="562" t="s">
        <v>654</v>
      </c>
      <c r="E71" s="885">
        <v>84131501</v>
      </c>
      <c r="F71" s="885" t="s">
        <v>754</v>
      </c>
      <c r="G71" s="551" t="s">
        <v>579</v>
      </c>
      <c r="H71" s="725">
        <v>10101</v>
      </c>
      <c r="I71" s="885" t="s">
        <v>829</v>
      </c>
      <c r="J71" s="847" t="s">
        <v>857</v>
      </c>
      <c r="K71" s="572" t="s">
        <v>552</v>
      </c>
      <c r="L71" s="572" t="s">
        <v>552</v>
      </c>
      <c r="M71" s="572">
        <v>12</v>
      </c>
      <c r="N71" s="592">
        <v>1</v>
      </c>
      <c r="O71" s="885" t="s">
        <v>612</v>
      </c>
      <c r="P71" s="717" t="str">
        <f>IF(O71=listas!$C$1,listas!$B$1,IF(O71=listas!$C$2,listas!$B$2,IF(O71=listas!$C$3,listas!$B$3,IF(O71=listas!$C$4,listas!$B$4,IF(O71=listas!$C$5,listas!$B$5,IF(O71=listas!$C$6,listas!$B$6,IF(O71=listas!$C$7,listas!$B$7,IF(O71=listas!$C$8,listas!$B$8,""))))))))</f>
        <v>CCE-06</v>
      </c>
      <c r="Q71" s="691">
        <f>61800000-28922211-333789</f>
        <v>32544000</v>
      </c>
      <c r="R71" s="695"/>
      <c r="S71" s="691"/>
      <c r="T71" s="694">
        <f>+Q71+R71+S71</f>
        <v>32544000</v>
      </c>
      <c r="U71" s="691"/>
      <c r="V71" s="695"/>
      <c r="W71" s="691"/>
      <c r="X71" s="694"/>
      <c r="Y71" s="694"/>
      <c r="Z71" s="691"/>
      <c r="AA71" s="695"/>
      <c r="AB71" s="691"/>
      <c r="AC71" s="694"/>
      <c r="AD71" s="691"/>
      <c r="AE71" s="694"/>
    </row>
    <row r="72" spans="1:31" ht="66.75" customHeight="1" x14ac:dyDescent="0.2">
      <c r="A72" s="1455"/>
      <c r="B72" s="1463"/>
      <c r="C72" s="1021">
        <v>37</v>
      </c>
      <c r="D72" s="1027" t="s">
        <v>1146</v>
      </c>
      <c r="E72" s="1021">
        <v>84131501</v>
      </c>
      <c r="F72" s="1021" t="s">
        <v>754</v>
      </c>
      <c r="G72" s="551" t="s">
        <v>579</v>
      </c>
      <c r="H72" s="725">
        <v>10101</v>
      </c>
      <c r="I72" s="1021" t="s">
        <v>829</v>
      </c>
      <c r="J72" s="847" t="s">
        <v>857</v>
      </c>
      <c r="K72" s="572" t="s">
        <v>552</v>
      </c>
      <c r="L72" s="572" t="s">
        <v>552</v>
      </c>
      <c r="M72" s="572">
        <v>191</v>
      </c>
      <c r="N72" s="592">
        <v>0</v>
      </c>
      <c r="O72" s="1021" t="s">
        <v>612</v>
      </c>
      <c r="P72" s="717" t="str">
        <f>IF(O72=listas!$C$1,listas!$B$1,IF(O72=listas!$C$2,listas!$B$2,IF(O72=listas!$C$3,listas!$B$3,IF(O72=listas!$C$4,listas!$B$4,IF(O72=listas!$C$5,listas!$B$5,IF(O72=listas!$C$6,listas!$B$6,IF(O72=listas!$C$7,listas!$B$7,IF(O72=listas!$C$8,listas!$B$8,""))))))))</f>
        <v>CCE-06</v>
      </c>
      <c r="Q72" s="691">
        <f>28922211+333789</f>
        <v>29256000</v>
      </c>
      <c r="R72" s="695"/>
      <c r="S72" s="691"/>
      <c r="T72" s="694">
        <f>+Q72+S72</f>
        <v>29256000</v>
      </c>
      <c r="U72" s="691">
        <v>29256004</v>
      </c>
      <c r="V72" s="695"/>
      <c r="W72" s="691"/>
      <c r="X72" s="694">
        <f>+U72+V72+W72</f>
        <v>29256004</v>
      </c>
      <c r="Y72" s="882">
        <v>43457</v>
      </c>
      <c r="Z72" s="813">
        <v>112</v>
      </c>
      <c r="AA72" s="691" t="s">
        <v>1165</v>
      </c>
      <c r="AB72" s="691"/>
      <c r="AC72" s="694"/>
      <c r="AD72" s="691"/>
      <c r="AE72" s="694"/>
    </row>
    <row r="73" spans="1:31" ht="15" customHeight="1" x14ac:dyDescent="0.2">
      <c r="A73" s="1455"/>
      <c r="B73" s="1464"/>
      <c r="C73" s="1457" t="s">
        <v>500</v>
      </c>
      <c r="D73" s="1458"/>
      <c r="E73" s="1458"/>
      <c r="F73" s="1458"/>
      <c r="G73" s="1458"/>
      <c r="H73" s="1458"/>
      <c r="I73" s="1458"/>
      <c r="J73" s="1458"/>
      <c r="K73" s="1458"/>
      <c r="L73" s="1458"/>
      <c r="M73" s="1458"/>
      <c r="N73" s="1458"/>
      <c r="O73" s="1458"/>
      <c r="P73" s="1459"/>
      <c r="Q73" s="1069">
        <f>SUM(Q70:Q72)</f>
        <v>61800000</v>
      </c>
      <c r="R73" s="1069"/>
      <c r="S73" s="1069"/>
      <c r="T73" s="1069">
        <f>+T70+T71+T72</f>
        <v>61800000</v>
      </c>
      <c r="U73" s="1069">
        <f>+U71+U72</f>
        <v>29256004</v>
      </c>
      <c r="V73" s="1069">
        <f t="shared" ref="V73:X73" si="13">+V71+V72</f>
        <v>0</v>
      </c>
      <c r="W73" s="1069">
        <f t="shared" si="13"/>
        <v>0</v>
      </c>
      <c r="X73" s="1069">
        <f t="shared" si="13"/>
        <v>29256004</v>
      </c>
      <c r="Y73" s="692"/>
      <c r="Z73" s="692"/>
      <c r="AA73" s="692"/>
      <c r="AB73" s="765">
        <v>29204867</v>
      </c>
      <c r="AC73" s="765"/>
      <c r="AD73" s="765"/>
      <c r="AE73" s="765">
        <f>+AB73+AC73+AD73</f>
        <v>29204867</v>
      </c>
    </row>
    <row r="74" spans="1:31" ht="16.5" customHeight="1" x14ac:dyDescent="0.2">
      <c r="A74" s="1454">
        <v>120208</v>
      </c>
      <c r="B74" s="1462" t="s">
        <v>672</v>
      </c>
      <c r="C74" s="820">
        <v>5</v>
      </c>
      <c r="D74" s="564" t="s">
        <v>655</v>
      </c>
      <c r="E74" s="557" t="s">
        <v>700</v>
      </c>
      <c r="F74" s="570" t="s">
        <v>754</v>
      </c>
      <c r="G74" s="551" t="s">
        <v>579</v>
      </c>
      <c r="H74" s="570" t="s">
        <v>858</v>
      </c>
      <c r="I74" s="570" t="s">
        <v>859</v>
      </c>
      <c r="J74" s="570" t="s">
        <v>860</v>
      </c>
      <c r="K74" s="556" t="s">
        <v>548</v>
      </c>
      <c r="L74" s="555" t="s">
        <v>548</v>
      </c>
      <c r="M74" s="568">
        <v>360</v>
      </c>
      <c r="N74" s="592">
        <v>0</v>
      </c>
      <c r="O74" s="565" t="s">
        <v>700</v>
      </c>
      <c r="P74" s="559" t="s">
        <v>703</v>
      </c>
      <c r="Q74" s="696">
        <v>23500000</v>
      </c>
      <c r="R74" s="694"/>
      <c r="S74" s="694"/>
      <c r="T74" s="694">
        <f>+Q74+R74+S74</f>
        <v>23500000</v>
      </c>
      <c r="U74" s="696">
        <v>23499243</v>
      </c>
      <c r="V74" s="694"/>
      <c r="W74" s="694"/>
      <c r="X74" s="694">
        <f>+U74+V74+W74</f>
        <v>23499243</v>
      </c>
      <c r="Y74" s="694"/>
      <c r="Z74" s="696"/>
      <c r="AA74" s="694"/>
      <c r="AB74" s="696">
        <v>23499243</v>
      </c>
      <c r="AC74" s="694"/>
      <c r="AD74" s="694"/>
      <c r="AE74" s="694">
        <f>+AB74+AC74+AD74</f>
        <v>23499243</v>
      </c>
    </row>
    <row r="75" spans="1:31" ht="22.5" customHeight="1" x14ac:dyDescent="0.2">
      <c r="A75" s="1455"/>
      <c r="B75" s="1463"/>
      <c r="C75" s="820">
        <v>5</v>
      </c>
      <c r="D75" s="564" t="s">
        <v>656</v>
      </c>
      <c r="E75" s="557" t="s">
        <v>700</v>
      </c>
      <c r="F75" s="570" t="s">
        <v>754</v>
      </c>
      <c r="G75" s="551" t="s">
        <v>579</v>
      </c>
      <c r="H75" s="570" t="s">
        <v>858</v>
      </c>
      <c r="I75" s="570" t="s">
        <v>859</v>
      </c>
      <c r="J75" s="570" t="s">
        <v>860</v>
      </c>
      <c r="K75" s="556" t="s">
        <v>548</v>
      </c>
      <c r="L75" s="555" t="s">
        <v>548</v>
      </c>
      <c r="M75" s="568">
        <v>360</v>
      </c>
      <c r="N75" s="592">
        <v>0</v>
      </c>
      <c r="O75" s="565" t="s">
        <v>700</v>
      </c>
      <c r="P75" s="559" t="s">
        <v>703</v>
      </c>
      <c r="Q75" s="696">
        <v>2500000</v>
      </c>
      <c r="R75" s="694"/>
      <c r="S75" s="694"/>
      <c r="T75" s="694">
        <f>+Q75+R75+S75</f>
        <v>2500000</v>
      </c>
      <c r="U75" s="696">
        <f>547830+29470+24290+39850</f>
        <v>641440</v>
      </c>
      <c r="V75" s="694"/>
      <c r="W75" s="694"/>
      <c r="X75" s="694">
        <f t="shared" ref="X75:X76" si="14">+U75+V75+W75</f>
        <v>641440</v>
      </c>
      <c r="Y75" s="694"/>
      <c r="Z75" s="696"/>
      <c r="AA75" s="694"/>
      <c r="AB75" s="696">
        <v>641440</v>
      </c>
      <c r="AC75" s="694"/>
      <c r="AD75" s="694"/>
      <c r="AE75" s="694">
        <f t="shared" ref="AE75:AE76" si="15">+AB75+AC75+AD75</f>
        <v>641440</v>
      </c>
    </row>
    <row r="76" spans="1:31" ht="19.5" customHeight="1" x14ac:dyDescent="0.2">
      <c r="A76" s="1455"/>
      <c r="B76" s="1463"/>
      <c r="C76" s="820">
        <v>5</v>
      </c>
      <c r="D76" s="564" t="s">
        <v>657</v>
      </c>
      <c r="E76" s="557" t="s">
        <v>700</v>
      </c>
      <c r="F76" s="570" t="s">
        <v>754</v>
      </c>
      <c r="G76" s="551" t="s">
        <v>579</v>
      </c>
      <c r="H76" s="570" t="s">
        <v>858</v>
      </c>
      <c r="I76" s="570" t="s">
        <v>859</v>
      </c>
      <c r="J76" s="570" t="s">
        <v>861</v>
      </c>
      <c r="K76" s="556" t="s">
        <v>548</v>
      </c>
      <c r="L76" s="555" t="s">
        <v>548</v>
      </c>
      <c r="M76" s="568">
        <v>360</v>
      </c>
      <c r="N76" s="592">
        <v>0</v>
      </c>
      <c r="O76" s="565" t="s">
        <v>700</v>
      </c>
      <c r="P76" s="559" t="s">
        <v>703</v>
      </c>
      <c r="Q76" s="696">
        <v>4000000</v>
      </c>
      <c r="R76" s="694"/>
      <c r="S76" s="694"/>
      <c r="T76" s="694">
        <f>+Q76+R76+S76</f>
        <v>4000000</v>
      </c>
      <c r="U76" s="696">
        <v>727224</v>
      </c>
      <c r="V76" s="694"/>
      <c r="W76" s="694"/>
      <c r="X76" s="694">
        <f t="shared" si="14"/>
        <v>727224</v>
      </c>
      <c r="Y76" s="694"/>
      <c r="Z76" s="696"/>
      <c r="AA76" s="694"/>
      <c r="AB76" s="696">
        <v>727224</v>
      </c>
      <c r="AC76" s="694"/>
      <c r="AD76" s="694"/>
      <c r="AE76" s="694">
        <f t="shared" si="15"/>
        <v>727224</v>
      </c>
    </row>
    <row r="77" spans="1:31" ht="24" customHeight="1" x14ac:dyDescent="0.2">
      <c r="A77" s="1455"/>
      <c r="B77" s="1463"/>
      <c r="C77" s="820">
        <v>5</v>
      </c>
      <c r="D77" s="564" t="s">
        <v>658</v>
      </c>
      <c r="E77" s="557" t="s">
        <v>700</v>
      </c>
      <c r="F77" s="570" t="s">
        <v>754</v>
      </c>
      <c r="G77" s="551" t="s">
        <v>579</v>
      </c>
      <c r="H77" s="570" t="s">
        <v>858</v>
      </c>
      <c r="I77" s="570" t="s">
        <v>859</v>
      </c>
      <c r="J77" s="570" t="s">
        <v>860</v>
      </c>
      <c r="K77" s="556" t="s">
        <v>548</v>
      </c>
      <c r="L77" s="555" t="s">
        <v>548</v>
      </c>
      <c r="M77" s="568">
        <v>360</v>
      </c>
      <c r="N77" s="592">
        <v>0</v>
      </c>
      <c r="O77" s="565" t="s">
        <v>700</v>
      </c>
      <c r="P77" s="559" t="s">
        <v>703</v>
      </c>
      <c r="Q77" s="696">
        <v>18000000</v>
      </c>
      <c r="R77" s="694"/>
      <c r="S77" s="694"/>
      <c r="T77" s="694">
        <f>+Q77+R77+S77</f>
        <v>18000000</v>
      </c>
      <c r="U77" s="696">
        <f>14925790+1316270</f>
        <v>16242060</v>
      </c>
      <c r="V77" s="694"/>
      <c r="W77" s="694"/>
      <c r="X77" s="694">
        <f>+U77+V77+W77</f>
        <v>16242060</v>
      </c>
      <c r="Y77" s="694"/>
      <c r="Z77" s="696"/>
      <c r="AA77" s="694"/>
      <c r="AB77" s="696">
        <v>16242060</v>
      </c>
      <c r="AC77" s="694"/>
      <c r="AD77" s="694"/>
      <c r="AE77" s="694">
        <f>+AB77+AC77+AD77</f>
        <v>16242060</v>
      </c>
    </row>
    <row r="78" spans="1:31" ht="15" customHeight="1" x14ac:dyDescent="0.2">
      <c r="A78" s="1456"/>
      <c r="B78" s="1464"/>
      <c r="C78" s="1457" t="s">
        <v>500</v>
      </c>
      <c r="D78" s="1458"/>
      <c r="E78" s="1458"/>
      <c r="F78" s="1458"/>
      <c r="G78" s="1458"/>
      <c r="H78" s="1458"/>
      <c r="I78" s="1458"/>
      <c r="J78" s="1458"/>
      <c r="K78" s="1458"/>
      <c r="L78" s="1458"/>
      <c r="M78" s="1458"/>
      <c r="N78" s="1458"/>
      <c r="O78" s="1458"/>
      <c r="P78" s="1459"/>
      <c r="Q78" s="1069">
        <f>SUM(Q74:Q77)</f>
        <v>48000000</v>
      </c>
      <c r="R78" s="1069"/>
      <c r="S78" s="1069"/>
      <c r="T78" s="1069">
        <f>+T74+T75+T76+T77</f>
        <v>48000000</v>
      </c>
      <c r="U78" s="1069">
        <f>SUM(U74:U77)</f>
        <v>41109967</v>
      </c>
      <c r="V78" s="1069"/>
      <c r="W78" s="1069"/>
      <c r="X78" s="1069">
        <f>+X74+X75+X76+X77</f>
        <v>41109967</v>
      </c>
      <c r="Y78" s="692"/>
      <c r="Z78" s="692"/>
      <c r="AA78" s="692"/>
      <c r="AB78" s="1069">
        <f>+AB74+AB75+AB76+AB77</f>
        <v>41109967</v>
      </c>
      <c r="AC78" s="1069"/>
      <c r="AD78" s="1069"/>
      <c r="AE78" s="1069">
        <f>+AB78+AC78+AD78</f>
        <v>41109967</v>
      </c>
    </row>
    <row r="79" spans="1:31" ht="27.75" customHeight="1" x14ac:dyDescent="0.2">
      <c r="A79" s="1453">
        <v>120209</v>
      </c>
      <c r="B79" s="1462" t="s">
        <v>673</v>
      </c>
      <c r="C79" s="820">
        <v>38</v>
      </c>
      <c r="D79" s="562" t="s">
        <v>659</v>
      </c>
      <c r="E79" s="570">
        <v>86101705</v>
      </c>
      <c r="F79" s="570" t="s">
        <v>621</v>
      </c>
      <c r="G79" s="575" t="s">
        <v>622</v>
      </c>
      <c r="H79" s="821">
        <v>10106</v>
      </c>
      <c r="I79" s="570" t="s">
        <v>830</v>
      </c>
      <c r="J79" s="594" t="s">
        <v>782</v>
      </c>
      <c r="K79" s="571" t="s">
        <v>101</v>
      </c>
      <c r="L79" s="572" t="s">
        <v>101</v>
      </c>
      <c r="M79" s="572">
        <v>3</v>
      </c>
      <c r="N79" s="592">
        <v>1</v>
      </c>
      <c r="O79" s="936" t="s">
        <v>597</v>
      </c>
      <c r="P79" s="717" t="str">
        <f>IF(O79=listas!$C$1,listas!$B$1,IF(O79=listas!$C$2,listas!$B$2,IF(O79=listas!$C$3,listas!$B$3,IF(O79=listas!$C$4,listas!$B$4,IF(O79=listas!$C$5,listas!$B$5,IF(O79=listas!$C$6,listas!$B$6,IF(O79=listas!$C$7,listas!$B$7,IF(O79=listas!$C$8,listas!$B$8,""))))))))</f>
        <v>CCE-10</v>
      </c>
      <c r="Q79" s="691">
        <f>13320000-3430000</f>
        <v>9890000</v>
      </c>
      <c r="R79" s="694"/>
      <c r="S79" s="694"/>
      <c r="T79" s="694">
        <f>+Q79+R79+S79</f>
        <v>9890000</v>
      </c>
      <c r="U79" s="691">
        <v>9890000</v>
      </c>
      <c r="V79" s="694"/>
      <c r="W79" s="694"/>
      <c r="X79" s="694">
        <f>+U79+V79+W79</f>
        <v>9890000</v>
      </c>
      <c r="Y79" s="766">
        <v>43396</v>
      </c>
      <c r="Z79" s="813">
        <v>125</v>
      </c>
      <c r="AA79" s="694" t="s">
        <v>1142</v>
      </c>
      <c r="AB79" s="694"/>
      <c r="AC79" s="694"/>
      <c r="AD79" s="694"/>
      <c r="AE79" s="694"/>
    </row>
    <row r="80" spans="1:31" ht="29.25" customHeight="1" x14ac:dyDescent="0.2">
      <c r="A80" s="1453"/>
      <c r="B80" s="1463"/>
      <c r="C80" s="1076"/>
      <c r="D80" s="562" t="s">
        <v>1159</v>
      </c>
      <c r="E80" s="1149"/>
      <c r="F80" s="1149"/>
      <c r="G80" s="551"/>
      <c r="H80" s="725"/>
      <c r="I80" s="1149"/>
      <c r="J80" s="725"/>
      <c r="K80" s="571"/>
      <c r="L80" s="572"/>
      <c r="M80" s="572"/>
      <c r="N80" s="592"/>
      <c r="O80" s="1149"/>
      <c r="P80" s="717"/>
      <c r="Q80" s="691">
        <f>13320000-Q79</f>
        <v>3430000</v>
      </c>
      <c r="R80" s="694"/>
      <c r="S80" s="694"/>
      <c r="T80" s="694">
        <f>+Q80+R80+S80</f>
        <v>3430000</v>
      </c>
      <c r="U80" s="691"/>
      <c r="V80" s="694"/>
      <c r="W80" s="694"/>
      <c r="X80" s="694"/>
      <c r="Y80" s="694"/>
      <c r="Z80" s="691"/>
      <c r="AA80" s="694"/>
      <c r="AB80" s="694"/>
      <c r="AC80" s="694"/>
      <c r="AD80" s="694"/>
      <c r="AE80" s="694"/>
    </row>
    <row r="81" spans="1:31" ht="15" customHeight="1" x14ac:dyDescent="0.2">
      <c r="A81" s="1453"/>
      <c r="B81" s="1464"/>
      <c r="C81" s="1467" t="s">
        <v>500</v>
      </c>
      <c r="D81" s="1467"/>
      <c r="E81" s="1467"/>
      <c r="F81" s="1467"/>
      <c r="G81" s="1467"/>
      <c r="H81" s="744"/>
      <c r="I81" s="744"/>
      <c r="J81" s="744"/>
      <c r="K81" s="744"/>
      <c r="L81" s="744"/>
      <c r="M81" s="744"/>
      <c r="N81" s="744"/>
      <c r="O81" s="744"/>
      <c r="P81" s="745"/>
      <c r="Q81" s="1069">
        <f>SUM(Q79:Q80)</f>
        <v>13320000</v>
      </c>
      <c r="R81" s="1069"/>
      <c r="S81" s="1069"/>
      <c r="T81" s="1069">
        <f>SUM(T79:T80)</f>
        <v>13320000</v>
      </c>
      <c r="U81" s="1069">
        <f>+U79</f>
        <v>9890000</v>
      </c>
      <c r="V81" s="1069"/>
      <c r="W81" s="1069"/>
      <c r="X81" s="1069">
        <f>+X79</f>
        <v>9890000</v>
      </c>
      <c r="Y81" s="692"/>
      <c r="Z81" s="692"/>
      <c r="AA81" s="692"/>
      <c r="AB81" s="1069">
        <v>9890000</v>
      </c>
      <c r="AC81" s="1069"/>
      <c r="AD81" s="1069"/>
      <c r="AE81" s="1069">
        <f>+AB81+AC81+AD81</f>
        <v>9890000</v>
      </c>
    </row>
    <row r="82" spans="1:31" ht="29.25" customHeight="1" x14ac:dyDescent="0.2">
      <c r="A82" s="1453">
        <v>120210</v>
      </c>
      <c r="B82" s="1462" t="s">
        <v>674</v>
      </c>
      <c r="C82" s="820">
        <v>39</v>
      </c>
      <c r="D82" s="562" t="s">
        <v>660</v>
      </c>
      <c r="E82" s="566" t="s">
        <v>661</v>
      </c>
      <c r="F82" s="570" t="s">
        <v>621</v>
      </c>
      <c r="G82" s="575" t="s">
        <v>622</v>
      </c>
      <c r="H82" s="594">
        <v>10106</v>
      </c>
      <c r="I82" s="570" t="s">
        <v>830</v>
      </c>
      <c r="J82" s="594" t="s">
        <v>782</v>
      </c>
      <c r="K82" s="571" t="s">
        <v>552</v>
      </c>
      <c r="L82" s="572" t="s">
        <v>552</v>
      </c>
      <c r="M82" s="572">
        <v>2</v>
      </c>
      <c r="N82" s="592">
        <v>1</v>
      </c>
      <c r="O82" s="936" t="s">
        <v>597</v>
      </c>
      <c r="P82" s="717" t="str">
        <f>IF(O82=listas!$C$1,listas!$B$1,IF(O82=listas!$C$2,listas!$B$2,IF(O82=listas!$C$3,listas!$B$3,IF(O82=listas!$C$4,listas!$B$4,IF(O82=listas!$C$5,listas!$B$5,IF(O82=listas!$C$6,listas!$B$6,IF(O82=listas!$C$7,listas!$B$7,IF(O82=listas!$C$8,listas!$B$8,""))))))))</f>
        <v>CCE-10</v>
      </c>
      <c r="Q82" s="691">
        <v>20790000</v>
      </c>
      <c r="R82" s="694"/>
      <c r="S82" s="694"/>
      <c r="T82" s="694">
        <f>+Q82+R82+S82</f>
        <v>20790000</v>
      </c>
      <c r="U82" s="691">
        <v>20790000</v>
      </c>
      <c r="V82" s="694"/>
      <c r="W82" s="694"/>
      <c r="X82" s="694">
        <f>+U82+V82+W82</f>
        <v>20790000</v>
      </c>
      <c r="Y82" s="882">
        <v>43439</v>
      </c>
      <c r="Z82" s="813">
        <v>30</v>
      </c>
      <c r="AA82" s="694" t="s">
        <v>1178</v>
      </c>
      <c r="AB82" s="694"/>
      <c r="AC82" s="694"/>
      <c r="AD82" s="694"/>
      <c r="AE82" s="694"/>
    </row>
    <row r="83" spans="1:31" ht="51.75" customHeight="1" x14ac:dyDescent="0.2">
      <c r="A83" s="1453"/>
      <c r="B83" s="1464"/>
      <c r="C83" s="820">
        <v>40</v>
      </c>
      <c r="D83" s="562" t="s">
        <v>662</v>
      </c>
      <c r="E83" s="617">
        <v>93141506</v>
      </c>
      <c r="F83" s="570" t="s">
        <v>621</v>
      </c>
      <c r="G83" s="575" t="s">
        <v>622</v>
      </c>
      <c r="H83" s="594">
        <v>10106</v>
      </c>
      <c r="I83" s="570" t="s">
        <v>830</v>
      </c>
      <c r="J83" s="594" t="s">
        <v>782</v>
      </c>
      <c r="K83" s="571" t="s">
        <v>358</v>
      </c>
      <c r="L83" s="572" t="s">
        <v>101</v>
      </c>
      <c r="M83" s="572">
        <v>3</v>
      </c>
      <c r="N83" s="592">
        <v>1</v>
      </c>
      <c r="O83" s="818" t="s">
        <v>597</v>
      </c>
      <c r="P83" s="717" t="str">
        <f>IF(O83=listas!$C$1,listas!$B$1,IF(O83=listas!$C$2,listas!$B$2,IF(O83=listas!$C$3,listas!$B$3,IF(O83=listas!$C$4,listas!$B$4,IF(O83=listas!$C$5,listas!$B$5,IF(O83=listas!$C$6,listas!$B$6,IF(O83=listas!$C$7,listas!$B$7,IF(O83=listas!$C$8,listas!$B$8,""))))))))</f>
        <v>CCE-10</v>
      </c>
      <c r="Q83" s="691">
        <v>7800000</v>
      </c>
      <c r="R83" s="694"/>
      <c r="S83" s="694"/>
      <c r="T83" s="694">
        <f>+Q83+R83+S83</f>
        <v>7800000</v>
      </c>
      <c r="U83" s="691">
        <v>7800000</v>
      </c>
      <c r="V83" s="694"/>
      <c r="W83" s="694"/>
      <c r="X83" s="694">
        <f>+U83+V83+W83</f>
        <v>7800000</v>
      </c>
      <c r="Y83" s="882">
        <v>43321</v>
      </c>
      <c r="Z83" s="813">
        <v>82</v>
      </c>
      <c r="AA83" s="694" t="s">
        <v>281</v>
      </c>
      <c r="AB83" s="694"/>
      <c r="AC83" s="694"/>
      <c r="AD83" s="694"/>
      <c r="AE83" s="694"/>
    </row>
    <row r="84" spans="1:31" ht="25.5" customHeight="1" x14ac:dyDescent="0.2">
      <c r="A84" s="1453"/>
      <c r="B84" s="1463"/>
      <c r="C84" s="820">
        <v>41</v>
      </c>
      <c r="D84" s="591" t="s">
        <v>663</v>
      </c>
      <c r="E84" s="566" t="s">
        <v>700</v>
      </c>
      <c r="F84" s="570" t="s">
        <v>621</v>
      </c>
      <c r="G84" s="551" t="s">
        <v>622</v>
      </c>
      <c r="H84" s="594">
        <v>10106</v>
      </c>
      <c r="I84" s="570" t="s">
        <v>830</v>
      </c>
      <c r="J84" s="594" t="s">
        <v>782</v>
      </c>
      <c r="K84" s="571" t="s">
        <v>101</v>
      </c>
      <c r="L84" s="572" t="s">
        <v>101</v>
      </c>
      <c r="M84" s="572">
        <v>180</v>
      </c>
      <c r="N84" s="592">
        <v>0</v>
      </c>
      <c r="O84" s="563" t="s">
        <v>701</v>
      </c>
      <c r="P84" s="569" t="s">
        <v>700</v>
      </c>
      <c r="Q84" s="691">
        <v>5000000</v>
      </c>
      <c r="R84" s="694"/>
      <c r="S84" s="694"/>
      <c r="T84" s="694">
        <f>+Q84+R84+S84</f>
        <v>5000000</v>
      </c>
      <c r="U84" s="691">
        <v>5000000</v>
      </c>
      <c r="V84" s="694">
        <f>+T85-U85</f>
        <v>0</v>
      </c>
      <c r="W84" s="694"/>
      <c r="X84" s="694">
        <f>+U84+V84+W84</f>
        <v>5000000</v>
      </c>
      <c r="Y84" s="882"/>
      <c r="Z84" s="813"/>
      <c r="AA84" s="694"/>
      <c r="AB84" s="694"/>
      <c r="AC84" s="694"/>
      <c r="AD84" s="694"/>
      <c r="AE84" s="694"/>
    </row>
    <row r="85" spans="1:31" ht="15" customHeight="1" x14ac:dyDescent="0.2">
      <c r="A85" s="1453"/>
      <c r="B85" s="1464"/>
      <c r="C85" s="1457" t="s">
        <v>500</v>
      </c>
      <c r="D85" s="1458"/>
      <c r="E85" s="1458"/>
      <c r="F85" s="1458"/>
      <c r="G85" s="1458"/>
      <c r="H85" s="1458"/>
      <c r="I85" s="1458"/>
      <c r="J85" s="1458"/>
      <c r="K85" s="1458"/>
      <c r="L85" s="1458"/>
      <c r="M85" s="1458"/>
      <c r="N85" s="1458"/>
      <c r="O85" s="1458"/>
      <c r="P85" s="1459"/>
      <c r="Q85" s="1069">
        <f>+Q82+Q83+Q84</f>
        <v>33590000</v>
      </c>
      <c r="R85" s="1069"/>
      <c r="S85" s="1069"/>
      <c r="T85" s="1069">
        <f>+T82+T83+T84</f>
        <v>33590000</v>
      </c>
      <c r="U85" s="1069">
        <f>+U82+U83+U84</f>
        <v>33590000</v>
      </c>
      <c r="V85" s="1069"/>
      <c r="W85" s="1069"/>
      <c r="X85" s="1069">
        <f>+X82+X83+X84</f>
        <v>33590000</v>
      </c>
      <c r="Y85" s="692"/>
      <c r="Z85" s="692"/>
      <c r="AA85" s="692"/>
      <c r="AB85" s="1069">
        <v>33590000</v>
      </c>
      <c r="AC85" s="1069"/>
      <c r="AD85" s="1069"/>
      <c r="AE85" s="1069">
        <f>+AB85+AC85+AD85</f>
        <v>33590000</v>
      </c>
    </row>
    <row r="86" spans="1:31" ht="31.5" customHeight="1" x14ac:dyDescent="0.2">
      <c r="A86" s="1454">
        <v>120212</v>
      </c>
      <c r="B86" s="1461" t="s">
        <v>664</v>
      </c>
      <c r="C86" s="820">
        <v>42</v>
      </c>
      <c r="D86" s="562" t="s">
        <v>665</v>
      </c>
      <c r="E86" s="570">
        <v>93141808</v>
      </c>
      <c r="F86" s="570" t="s">
        <v>621</v>
      </c>
      <c r="G86" s="575" t="s">
        <v>622</v>
      </c>
      <c r="H86" s="594">
        <v>10106</v>
      </c>
      <c r="I86" s="570" t="s">
        <v>830</v>
      </c>
      <c r="J86" s="725" t="s">
        <v>782</v>
      </c>
      <c r="K86" s="572" t="s">
        <v>552</v>
      </c>
      <c r="L86" s="572" t="s">
        <v>552</v>
      </c>
      <c r="M86" s="572">
        <v>1</v>
      </c>
      <c r="N86" s="592">
        <v>1</v>
      </c>
      <c r="O86" s="820" t="s">
        <v>597</v>
      </c>
      <c r="P86" s="717" t="str">
        <f>IF(O86=listas!$C$1,listas!$B$1,IF(O86=listas!$C$2,listas!$B$2,IF(O86=listas!$C$3,listas!$B$3,IF(O86=listas!$C$4,listas!$B$4,IF(O86=listas!$C$5,listas!$B$5,IF(O86=listas!$C$6,listas!$B$6,IF(O86=listas!$C$7,listas!$B$7,IF(O86=listas!$C$8,listas!$B$8,""))))))))</f>
        <v>CCE-10</v>
      </c>
      <c r="Q86" s="691">
        <f>4400000+6651917-2655917</f>
        <v>8396000</v>
      </c>
      <c r="R86" s="694"/>
      <c r="S86" s="694"/>
      <c r="T86" s="694">
        <f>+Q86+R86+S86</f>
        <v>8396000</v>
      </c>
      <c r="U86" s="691">
        <v>8396000</v>
      </c>
      <c r="V86" s="694"/>
      <c r="W86" s="694"/>
      <c r="X86" s="694">
        <f>+U86+V86+W86</f>
        <v>8396000</v>
      </c>
      <c r="Y86" s="882">
        <v>43433</v>
      </c>
      <c r="Z86" s="813">
        <v>129</v>
      </c>
      <c r="AA86" s="1125" t="s">
        <v>1166</v>
      </c>
      <c r="AB86" s="694"/>
      <c r="AC86" s="694"/>
      <c r="AD86" s="694"/>
      <c r="AE86" s="694"/>
    </row>
    <row r="87" spans="1:31" ht="39.75" customHeight="1" x14ac:dyDescent="0.2">
      <c r="A87" s="1455"/>
      <c r="B87" s="1464"/>
      <c r="C87" s="1132"/>
      <c r="D87" s="562" t="s">
        <v>1169</v>
      </c>
      <c r="E87" s="570"/>
      <c r="F87" s="570" t="s">
        <v>621</v>
      </c>
      <c r="G87" s="575"/>
      <c r="H87" s="594"/>
      <c r="I87" s="570"/>
      <c r="J87" s="725"/>
      <c r="K87" s="572"/>
      <c r="L87" s="572"/>
      <c r="M87" s="572"/>
      <c r="N87" s="592"/>
      <c r="O87" s="1132"/>
      <c r="P87" s="717"/>
      <c r="Q87" s="691">
        <f>11051917-U86-2655917</f>
        <v>0</v>
      </c>
      <c r="R87" s="694"/>
      <c r="S87" s="694"/>
      <c r="T87" s="694">
        <f>+Q87+R87+S87</f>
        <v>0</v>
      </c>
      <c r="U87" s="691"/>
      <c r="V87" s="694"/>
      <c r="W87" s="694"/>
      <c r="X87" s="694"/>
      <c r="Y87" s="882"/>
      <c r="Z87" s="813"/>
      <c r="AA87" s="1125"/>
      <c r="AB87" s="694"/>
      <c r="AC87" s="694"/>
      <c r="AD87" s="694"/>
      <c r="AE87" s="694"/>
    </row>
    <row r="88" spans="1:31" ht="39.75" customHeight="1" x14ac:dyDescent="0.2">
      <c r="A88" s="1455"/>
      <c r="B88" s="1464"/>
      <c r="C88" s="1076"/>
      <c r="D88" s="1109" t="s">
        <v>1139</v>
      </c>
      <c r="E88" s="1098"/>
      <c r="F88" s="570" t="s">
        <v>621</v>
      </c>
      <c r="G88" s="1110"/>
      <c r="H88" s="1111"/>
      <c r="I88" s="1098"/>
      <c r="J88" s="1111" t="s">
        <v>1140</v>
      </c>
      <c r="K88" s="1113" t="s">
        <v>552</v>
      </c>
      <c r="L88" s="1113" t="s">
        <v>552</v>
      </c>
      <c r="M88" s="1113">
        <v>1</v>
      </c>
      <c r="N88" s="1114">
        <v>1</v>
      </c>
      <c r="O88" s="1098" t="s">
        <v>597</v>
      </c>
      <c r="P88" s="1099" t="s">
        <v>596</v>
      </c>
      <c r="Q88" s="1075">
        <f>1778083-1778083</f>
        <v>0</v>
      </c>
      <c r="R88" s="694"/>
      <c r="S88" s="694"/>
      <c r="T88" s="1115">
        <f>+Q88+S88</f>
        <v>0</v>
      </c>
      <c r="U88" s="691"/>
      <c r="V88" s="694"/>
      <c r="W88" s="694"/>
      <c r="X88" s="694"/>
      <c r="Y88" s="694"/>
      <c r="Z88" s="691"/>
      <c r="AA88" s="694"/>
      <c r="AB88" s="694"/>
      <c r="AC88" s="694"/>
      <c r="AD88" s="694"/>
      <c r="AE88" s="694"/>
    </row>
    <row r="89" spans="1:31" ht="39.75" customHeight="1" x14ac:dyDescent="0.2">
      <c r="A89" s="1455"/>
      <c r="B89" s="1464"/>
      <c r="C89" s="1132"/>
      <c r="D89" s="562" t="s">
        <v>1170</v>
      </c>
      <c r="E89" s="1149"/>
      <c r="F89" s="1149" t="s">
        <v>621</v>
      </c>
      <c r="G89" s="551"/>
      <c r="H89" s="725">
        <v>10106</v>
      </c>
      <c r="I89" s="1149" t="s">
        <v>830</v>
      </c>
      <c r="J89" s="725" t="s">
        <v>1171</v>
      </c>
      <c r="K89" s="572" t="s">
        <v>553</v>
      </c>
      <c r="L89" s="572" t="s">
        <v>553</v>
      </c>
      <c r="M89" s="572">
        <v>1</v>
      </c>
      <c r="N89" s="592">
        <v>1</v>
      </c>
      <c r="O89" s="1149" t="s">
        <v>597</v>
      </c>
      <c r="P89" s="717" t="s">
        <v>596</v>
      </c>
      <c r="Q89" s="691">
        <v>4434000</v>
      </c>
      <c r="R89" s="694"/>
      <c r="S89" s="694"/>
      <c r="T89" s="694">
        <f>+Q89+S89</f>
        <v>4434000</v>
      </c>
      <c r="U89" s="691">
        <v>4352300</v>
      </c>
      <c r="V89" s="694"/>
      <c r="W89" s="694"/>
      <c r="X89" s="694">
        <f>+U89+V89+W89</f>
        <v>4352300</v>
      </c>
      <c r="Y89" s="694">
        <v>43457</v>
      </c>
      <c r="Z89" s="691">
        <v>135</v>
      </c>
      <c r="AA89" s="694" t="s">
        <v>1181</v>
      </c>
      <c r="AB89" s="694"/>
      <c r="AC89" s="694"/>
      <c r="AD89" s="694"/>
      <c r="AE89" s="694"/>
    </row>
    <row r="90" spans="1:31" ht="13.5" customHeight="1" x14ac:dyDescent="0.2">
      <c r="A90" s="1455"/>
      <c r="B90" s="1464"/>
      <c r="C90" s="1076"/>
      <c r="D90" s="562" t="s">
        <v>1141</v>
      </c>
      <c r="E90" s="570"/>
      <c r="F90" s="570"/>
      <c r="G90" s="575"/>
      <c r="H90" s="594"/>
      <c r="I90" s="570"/>
      <c r="J90" s="725"/>
      <c r="K90" s="572"/>
      <c r="L90" s="572"/>
      <c r="M90" s="572"/>
      <c r="N90" s="592"/>
      <c r="O90" s="1076"/>
      <c r="P90" s="717"/>
      <c r="Q90" s="691">
        <v>40000</v>
      </c>
      <c r="R90" s="694"/>
      <c r="S90" s="694"/>
      <c r="T90" s="694">
        <v>40000</v>
      </c>
      <c r="U90" s="691"/>
      <c r="V90" s="694"/>
      <c r="W90" s="694"/>
      <c r="X90" s="694"/>
      <c r="Y90" s="694"/>
      <c r="Z90" s="691"/>
      <c r="AA90" s="694"/>
      <c r="AB90" s="694"/>
      <c r="AC90" s="694"/>
      <c r="AD90" s="694"/>
      <c r="AE90" s="694"/>
    </row>
    <row r="91" spans="1:31" ht="12.75" customHeight="1" x14ac:dyDescent="0.2">
      <c r="A91" s="1456"/>
      <c r="B91" s="1464"/>
      <c r="C91" s="1467" t="s">
        <v>500</v>
      </c>
      <c r="D91" s="1467"/>
      <c r="E91" s="1467"/>
      <c r="F91" s="1467"/>
      <c r="G91" s="1467"/>
      <c r="H91" s="1467"/>
      <c r="I91" s="1467"/>
      <c r="J91" s="1467"/>
      <c r="K91" s="1467"/>
      <c r="L91" s="1467"/>
      <c r="M91" s="1467"/>
      <c r="N91" s="1467"/>
      <c r="O91" s="1467"/>
      <c r="P91" s="1467"/>
      <c r="Q91" s="1069">
        <f>SUM(Q86:Q90)</f>
        <v>12870000</v>
      </c>
      <c r="R91" s="1069">
        <f>SUM(R86:R88)</f>
        <v>0</v>
      </c>
      <c r="S91" s="1069">
        <f>SUM(S86:S88)</f>
        <v>0</v>
      </c>
      <c r="T91" s="1069">
        <f>SUM(T86:T90)</f>
        <v>12870000</v>
      </c>
      <c r="U91" s="1069">
        <f>+U86+U87+U88+U89+U90</f>
        <v>12748300</v>
      </c>
      <c r="V91" s="1069"/>
      <c r="W91" s="1069"/>
      <c r="X91" s="1069">
        <f>+U91+V91+W91</f>
        <v>12748300</v>
      </c>
      <c r="Y91" s="692"/>
      <c r="Z91" s="692"/>
      <c r="AA91" s="692"/>
      <c r="AB91" s="692"/>
      <c r="AC91" s="692"/>
      <c r="AD91" s="692"/>
      <c r="AE91" s="692">
        <f>+AB91+AC91+AD91</f>
        <v>0</v>
      </c>
    </row>
    <row r="92" spans="1:31" ht="12.75" customHeight="1" x14ac:dyDescent="0.2">
      <c r="A92" s="1465" t="s">
        <v>666</v>
      </c>
      <c r="B92" s="1466"/>
      <c r="C92" s="1466"/>
      <c r="D92" s="1466"/>
      <c r="E92" s="1466"/>
      <c r="F92" s="1466"/>
      <c r="G92" s="1466"/>
      <c r="H92" s="1466"/>
      <c r="I92" s="1466"/>
      <c r="J92" s="1466"/>
      <c r="K92" s="1466"/>
      <c r="L92" s="1466"/>
      <c r="M92" s="581"/>
      <c r="N92" s="582"/>
      <c r="O92" s="583"/>
      <c r="P92" s="583"/>
      <c r="Q92" s="1080">
        <f>+Q51+Q57+Q62+Q69+Q73+Q78+Q81+Q85+Q91</f>
        <v>685050000</v>
      </c>
      <c r="R92" s="1080"/>
      <c r="S92" s="1080"/>
      <c r="T92" s="1080">
        <f>+T51+T57+T62+T69+T73+T78+T81+T85+T91</f>
        <v>685050000</v>
      </c>
      <c r="U92" s="1080">
        <f>+U51+U57+U62+U69+U73+U78+U81+U85+U91</f>
        <v>626764284</v>
      </c>
      <c r="V92" s="1080">
        <f t="shared" ref="V92:X92" si="16">+V51+V57+V62+V69+V73+V78+V81+V85+V91</f>
        <v>0</v>
      </c>
      <c r="W92" s="1080">
        <f t="shared" si="16"/>
        <v>0</v>
      </c>
      <c r="X92" s="1080">
        <f t="shared" si="16"/>
        <v>626764284</v>
      </c>
      <c r="Y92" s="693"/>
      <c r="Z92" s="693"/>
      <c r="AA92" s="693"/>
      <c r="AB92" s="1080">
        <f>+AB51+AB57+AB62+AB69+AB73+AB78+AB81+AB85+AB91</f>
        <v>555391366</v>
      </c>
      <c r="AC92" s="1080">
        <f>+AC51+AC57+AC62+AC69+AC73+AC78+AC81+AC85+AC91</f>
        <v>0</v>
      </c>
      <c r="AD92" s="1080">
        <f>+AD51+AD57+AD62+AD69+AD73+AD78+AD81+AD85+AD91</f>
        <v>0</v>
      </c>
      <c r="AE92" s="1080">
        <f>+AE51+AE57+AE62+AE69+AE73+AE78+AE81+AE85+AE91</f>
        <v>555391366</v>
      </c>
    </row>
    <row r="93" spans="1:31" ht="34.5" customHeight="1" x14ac:dyDescent="0.2">
      <c r="A93" s="1454">
        <v>120302</v>
      </c>
      <c r="B93" s="1462" t="s">
        <v>667</v>
      </c>
      <c r="C93" s="738">
        <v>4</v>
      </c>
      <c r="D93" s="622" t="s">
        <v>704</v>
      </c>
      <c r="E93" s="617" t="s">
        <v>700</v>
      </c>
      <c r="F93" s="570" t="s">
        <v>705</v>
      </c>
      <c r="G93" s="553" t="s">
        <v>706</v>
      </c>
      <c r="H93" s="594">
        <v>30201</v>
      </c>
      <c r="I93" s="570" t="s">
        <v>836</v>
      </c>
      <c r="J93" s="594" t="s">
        <v>862</v>
      </c>
      <c r="K93" s="589" t="s">
        <v>389</v>
      </c>
      <c r="L93" s="590" t="s">
        <v>389</v>
      </c>
      <c r="M93" s="572">
        <v>360</v>
      </c>
      <c r="N93" s="592">
        <v>0</v>
      </c>
      <c r="O93" s="567" t="s">
        <v>700</v>
      </c>
      <c r="P93" s="565" t="s">
        <v>700</v>
      </c>
      <c r="Q93" s="696">
        <v>200000</v>
      </c>
      <c r="R93" s="691"/>
      <c r="S93" s="694"/>
      <c r="T93" s="694">
        <f>+Q93+R93+S93</f>
        <v>200000</v>
      </c>
      <c r="U93" s="696">
        <v>104000</v>
      </c>
      <c r="V93" s="691"/>
      <c r="W93" s="694"/>
      <c r="X93" s="694">
        <f>+U93+V93+W93</f>
        <v>104000</v>
      </c>
      <c r="Y93" s="694"/>
      <c r="Z93" s="696"/>
      <c r="AA93" s="691"/>
      <c r="AB93" s="696"/>
      <c r="AC93" s="691"/>
      <c r="AD93" s="694"/>
      <c r="AE93" s="694"/>
    </row>
    <row r="94" spans="1:31" ht="15" customHeight="1" x14ac:dyDescent="0.2">
      <c r="A94" s="1456"/>
      <c r="B94" s="1464"/>
      <c r="C94" s="1457" t="s">
        <v>500</v>
      </c>
      <c r="D94" s="1458"/>
      <c r="E94" s="1458"/>
      <c r="F94" s="1458"/>
      <c r="G94" s="1458"/>
      <c r="H94" s="1458"/>
      <c r="I94" s="1458"/>
      <c r="J94" s="1458"/>
      <c r="K94" s="1458"/>
      <c r="L94" s="1458"/>
      <c r="M94" s="1458"/>
      <c r="N94" s="1458"/>
      <c r="O94" s="1458"/>
      <c r="P94" s="1459"/>
      <c r="Q94" s="1069">
        <f>+Q93</f>
        <v>200000</v>
      </c>
      <c r="R94" s="1069"/>
      <c r="S94" s="1069"/>
      <c r="T94" s="1069">
        <f>+T93</f>
        <v>200000</v>
      </c>
      <c r="U94" s="692">
        <f>+U93</f>
        <v>104000</v>
      </c>
      <c r="V94" s="692"/>
      <c r="W94" s="692"/>
      <c r="X94" s="692">
        <f>+X93</f>
        <v>104000</v>
      </c>
      <c r="Y94" s="692"/>
      <c r="Z94" s="692"/>
      <c r="AA94" s="692"/>
      <c r="AB94" s="1069">
        <v>104000</v>
      </c>
      <c r="AC94" s="1069"/>
      <c r="AD94" s="1069"/>
      <c r="AE94" s="1069">
        <f>+AB94+AC94+AD94</f>
        <v>104000</v>
      </c>
    </row>
    <row r="95" spans="1:31" ht="15" customHeight="1" x14ac:dyDescent="0.2">
      <c r="A95" s="1465" t="s">
        <v>668</v>
      </c>
      <c r="B95" s="1466"/>
      <c r="C95" s="1466"/>
      <c r="D95" s="1466"/>
      <c r="E95" s="1466"/>
      <c r="F95" s="1466"/>
      <c r="G95" s="1466"/>
      <c r="H95" s="1466"/>
      <c r="I95" s="1466"/>
      <c r="J95" s="1466"/>
      <c r="K95" s="1466"/>
      <c r="L95" s="1466"/>
      <c r="M95" s="584"/>
      <c r="N95" s="582"/>
      <c r="O95" s="583"/>
      <c r="P95" s="583"/>
      <c r="Q95" s="693">
        <f>+Q94</f>
        <v>200000</v>
      </c>
      <c r="R95" s="697"/>
      <c r="S95" s="697"/>
      <c r="T95" s="697">
        <f>+Q95+R95+S95</f>
        <v>200000</v>
      </c>
      <c r="U95" s="693">
        <f>+U94</f>
        <v>104000</v>
      </c>
      <c r="V95" s="697"/>
      <c r="W95" s="697"/>
      <c r="X95" s="697">
        <f>+U95+V95+W95</f>
        <v>104000</v>
      </c>
      <c r="Y95" s="697"/>
      <c r="Z95" s="693"/>
      <c r="AA95" s="697"/>
      <c r="AB95" s="1080">
        <f>+AB94</f>
        <v>104000</v>
      </c>
      <c r="AC95" s="1116"/>
      <c r="AD95" s="1116"/>
      <c r="AE95" s="1116">
        <f>+AB95+AC95+AD95</f>
        <v>104000</v>
      </c>
    </row>
    <row r="96" spans="1:31" ht="16.5" customHeight="1" x14ac:dyDescent="0.2">
      <c r="A96" s="1480" t="s">
        <v>669</v>
      </c>
      <c r="B96" s="1481"/>
      <c r="C96" s="1481"/>
      <c r="D96" s="1481"/>
      <c r="E96" s="1481"/>
      <c r="F96" s="1481"/>
      <c r="G96" s="1481"/>
      <c r="H96" s="1481"/>
      <c r="I96" s="1481"/>
      <c r="J96" s="1481"/>
      <c r="K96" s="1481"/>
      <c r="L96" s="1481"/>
      <c r="M96" s="585"/>
      <c r="N96" s="586"/>
      <c r="O96" s="587"/>
      <c r="P96" s="587"/>
      <c r="Q96" s="698">
        <f>+Q45+Q92+Q95</f>
        <v>900000000.20000005</v>
      </c>
      <c r="R96" s="698">
        <f>+R45+R92+R95</f>
        <v>0</v>
      </c>
      <c r="S96" s="698">
        <f>+S45+S92+S95</f>
        <v>0</v>
      </c>
      <c r="T96" s="698">
        <f>+T45+T92+T95</f>
        <v>900000000.20000005</v>
      </c>
      <c r="U96" s="698">
        <f>+U45+U92+U95</f>
        <v>838556605</v>
      </c>
      <c r="V96" s="698"/>
      <c r="W96" s="698"/>
      <c r="X96" s="698">
        <f>+X45+X92+X95</f>
        <v>838556605</v>
      </c>
      <c r="Y96" s="698"/>
      <c r="Z96" s="698"/>
      <c r="AA96" s="698"/>
      <c r="AB96" s="698">
        <f>+AB45+AB92+AB95</f>
        <v>686702957</v>
      </c>
      <c r="AC96" s="698"/>
      <c r="AD96" s="698"/>
      <c r="AE96" s="698">
        <f>+AE45+AE92+AE95</f>
        <v>686702957</v>
      </c>
    </row>
    <row r="97" spans="1:32" ht="21.75" customHeight="1" x14ac:dyDescent="0.2">
      <c r="A97" s="1482" t="s">
        <v>605</v>
      </c>
      <c r="B97" s="1482"/>
      <c r="C97" s="1482"/>
      <c r="D97" s="1482"/>
      <c r="E97" s="1482"/>
      <c r="F97" s="1482"/>
      <c r="G97" s="1482"/>
      <c r="H97" s="1482"/>
      <c r="I97" s="1482"/>
      <c r="J97" s="1482"/>
      <c r="K97" s="1482"/>
      <c r="L97" s="1482"/>
      <c r="M97" s="1482"/>
      <c r="N97" s="1482"/>
      <c r="O97" s="1482"/>
      <c r="P97" s="618"/>
      <c r="Q97" s="699">
        <f>+Q96</f>
        <v>900000000.20000005</v>
      </c>
      <c r="R97" s="699"/>
      <c r="S97" s="699"/>
      <c r="T97" s="699">
        <f>+T96</f>
        <v>900000000.20000005</v>
      </c>
      <c r="U97" s="690">
        <f>+U96</f>
        <v>838556605</v>
      </c>
      <c r="V97" s="690"/>
      <c r="W97" s="690"/>
      <c r="X97" s="690">
        <f>+U97+V97+W97</f>
        <v>838556605</v>
      </c>
      <c r="Y97" s="699"/>
      <c r="Z97" s="699"/>
      <c r="AA97" s="699"/>
      <c r="AB97" s="699">
        <f>+AB96</f>
        <v>686702957</v>
      </c>
      <c r="AC97" s="699"/>
      <c r="AD97" s="699"/>
      <c r="AE97" s="699">
        <f>+AB97+AC97+AD97</f>
        <v>686702957</v>
      </c>
      <c r="AF97" s="719"/>
    </row>
    <row r="98" spans="1:32" ht="48" customHeight="1" x14ac:dyDescent="0.25">
      <c r="A98" s="1167" t="s">
        <v>997</v>
      </c>
      <c r="B98" s="1167"/>
      <c r="C98" s="1167"/>
      <c r="D98" s="1483" t="s">
        <v>1214</v>
      </c>
      <c r="E98" s="1483"/>
      <c r="F98" s="1483"/>
      <c r="G98" s="1483"/>
      <c r="H98" s="1483"/>
      <c r="I98" s="729"/>
      <c r="J98" s="619"/>
      <c r="K98" s="619"/>
      <c r="L98" s="1317" t="s">
        <v>995</v>
      </c>
      <c r="M98" s="1317"/>
      <c r="N98" s="1317"/>
      <c r="O98" s="1317"/>
      <c r="P98" s="1168"/>
      <c r="Q98" s="1483" t="s">
        <v>1215</v>
      </c>
      <c r="R98" s="1483"/>
      <c r="S98" s="1483"/>
      <c r="T98" s="1483"/>
      <c r="U98" s="719"/>
      <c r="X98" s="1081"/>
      <c r="AB98" s="719"/>
      <c r="AE98" s="1077"/>
      <c r="AF98" s="719"/>
    </row>
    <row r="99" spans="1:32" ht="31.5" customHeight="1" x14ac:dyDescent="0.2">
      <c r="A99" s="1166" t="s">
        <v>996</v>
      </c>
      <c r="B99" s="1166"/>
      <c r="C99" s="1166"/>
      <c r="D99" s="1316" t="s">
        <v>606</v>
      </c>
      <c r="E99" s="1316"/>
      <c r="F99" s="1316"/>
      <c r="G99" s="1316"/>
      <c r="H99" s="1316"/>
      <c r="I99" s="550"/>
      <c r="J99" s="550"/>
      <c r="K99" s="550"/>
      <c r="L99" s="1316" t="s">
        <v>14</v>
      </c>
      <c r="M99" s="1316"/>
      <c r="N99" s="1316"/>
      <c r="O99" s="1316"/>
      <c r="P99" s="550"/>
      <c r="Q99" s="1316" t="s">
        <v>1216</v>
      </c>
      <c r="R99" s="1316"/>
      <c r="S99" s="1316"/>
      <c r="T99" s="1316"/>
      <c r="U99" s="719"/>
      <c r="V99" s="719"/>
      <c r="X99" s="1078"/>
      <c r="AB99" s="719"/>
      <c r="AE99" s="1078"/>
    </row>
    <row r="100" spans="1:32" ht="15" x14ac:dyDescent="0.2">
      <c r="A100" s="890"/>
      <c r="B100" s="1474"/>
      <c r="C100" s="1474"/>
      <c r="D100" s="1474"/>
      <c r="E100" s="1474"/>
      <c r="F100" s="891"/>
      <c r="G100" s="891"/>
      <c r="H100" s="891"/>
      <c r="I100" s="891"/>
      <c r="J100" s="891"/>
      <c r="K100" s="891"/>
      <c r="L100" s="891"/>
      <c r="M100" s="891"/>
      <c r="N100" s="891"/>
      <c r="O100" s="891"/>
      <c r="P100" s="891"/>
      <c r="Q100" s="892"/>
      <c r="R100" s="892"/>
      <c r="S100" s="892"/>
      <c r="T100" s="892"/>
      <c r="X100" s="719"/>
      <c r="AE100" s="719"/>
    </row>
    <row r="101" spans="1:32" ht="15.75" x14ac:dyDescent="0.2">
      <c r="A101" s="893"/>
      <c r="B101" s="1476"/>
      <c r="C101" s="1476"/>
      <c r="D101" s="1476"/>
      <c r="E101" s="1476"/>
      <c r="F101" s="891"/>
      <c r="G101" s="891"/>
      <c r="H101" s="891"/>
      <c r="I101" s="891"/>
      <c r="J101" s="891"/>
      <c r="K101" s="891"/>
      <c r="L101" s="894"/>
      <c r="M101" s="891"/>
      <c r="N101" s="891"/>
      <c r="O101" s="1476"/>
      <c r="P101" s="1476"/>
      <c r="Q101" s="1476"/>
      <c r="R101" s="1476"/>
      <c r="S101" s="1476"/>
      <c r="T101" s="1476"/>
      <c r="X101" s="719"/>
    </row>
    <row r="102" spans="1:32" ht="15" x14ac:dyDescent="0.2">
      <c r="A102" s="1475"/>
      <c r="B102" s="1475"/>
      <c r="C102" s="1475"/>
      <c r="D102" s="1475"/>
      <c r="E102" s="1475"/>
      <c r="F102" s="890"/>
      <c r="G102" s="890"/>
      <c r="H102" s="890"/>
      <c r="I102" s="890"/>
      <c r="J102" s="890"/>
      <c r="K102" s="890"/>
      <c r="L102" s="890"/>
      <c r="M102" s="890"/>
      <c r="N102" s="891"/>
      <c r="O102" s="1478"/>
      <c r="P102" s="1478"/>
      <c r="Q102" s="1478"/>
      <c r="R102" s="1478"/>
      <c r="S102" s="1478"/>
      <c r="T102" s="1478"/>
    </row>
    <row r="103" spans="1:32" ht="60" customHeight="1" x14ac:dyDescent="0.2">
      <c r="A103" s="890"/>
      <c r="B103" s="890"/>
      <c r="C103" s="890"/>
      <c r="D103" s="890"/>
      <c r="E103" s="890"/>
      <c r="F103" s="890"/>
      <c r="G103" s="890"/>
      <c r="H103" s="890"/>
      <c r="I103" s="890"/>
      <c r="J103" s="890"/>
      <c r="K103" s="890"/>
      <c r="L103" s="890"/>
      <c r="M103" s="890"/>
      <c r="N103" s="890"/>
      <c r="O103" s="890"/>
      <c r="P103" s="890"/>
      <c r="Q103" s="895"/>
      <c r="R103" s="895"/>
      <c r="S103" s="895"/>
      <c r="T103" s="895"/>
    </row>
    <row r="104" spans="1:32" ht="19.5" customHeight="1" x14ac:dyDescent="0.2">
      <c r="A104" s="893"/>
      <c r="B104" s="1476"/>
      <c r="C104" s="1476"/>
      <c r="D104" s="1476"/>
      <c r="E104" s="1476"/>
      <c r="F104" s="890"/>
      <c r="G104" s="890"/>
      <c r="H104" s="890"/>
      <c r="I104" s="890"/>
      <c r="J104" s="890"/>
      <c r="K104" s="890"/>
      <c r="L104" s="890"/>
      <c r="M104" s="890"/>
      <c r="N104" s="890"/>
      <c r="O104" s="1479"/>
      <c r="P104" s="1479"/>
      <c r="Q104" s="1479"/>
      <c r="R104" s="1479"/>
      <c r="S104" s="1479"/>
      <c r="T104" s="1479"/>
    </row>
    <row r="105" spans="1:32" ht="24" customHeight="1" x14ac:dyDescent="0.2">
      <c r="A105" s="891"/>
      <c r="B105" s="1477"/>
      <c r="C105" s="1477"/>
      <c r="D105" s="1477"/>
      <c r="E105" s="1477"/>
      <c r="F105" s="891"/>
      <c r="G105" s="891"/>
      <c r="H105" s="891"/>
      <c r="I105" s="891"/>
      <c r="J105" s="891"/>
      <c r="K105" s="891"/>
      <c r="L105" s="891"/>
      <c r="M105" s="891"/>
      <c r="N105" s="891"/>
      <c r="O105" s="1478"/>
      <c r="P105" s="1478"/>
      <c r="Q105" s="1478"/>
      <c r="R105" s="1478"/>
      <c r="S105" s="1478"/>
      <c r="T105" s="1478"/>
    </row>
    <row r="109" spans="1:32" x14ac:dyDescent="0.2">
      <c r="O109" s="719"/>
    </row>
    <row r="110" spans="1:32" x14ac:dyDescent="0.2">
      <c r="O110" s="719"/>
    </row>
    <row r="111" spans="1:32" x14ac:dyDescent="0.2">
      <c r="O111" s="719"/>
    </row>
    <row r="112" spans="1:32" x14ac:dyDescent="0.2">
      <c r="O112" s="719"/>
    </row>
    <row r="113" spans="15:15" x14ac:dyDescent="0.2">
      <c r="O113" s="719"/>
    </row>
    <row r="114" spans="15:15" x14ac:dyDescent="0.2">
      <c r="O114" s="719"/>
    </row>
    <row r="115" spans="15:15" x14ac:dyDescent="0.2">
      <c r="O115" s="719"/>
    </row>
  </sheetData>
  <autoFilter ref="L8:AA99"/>
  <mergeCells count="84">
    <mergeCell ref="Q99:T99"/>
    <mergeCell ref="C91:P91"/>
    <mergeCell ref="C94:P94"/>
    <mergeCell ref="A95:L95"/>
    <mergeCell ref="A96:L96"/>
    <mergeCell ref="A97:O97"/>
    <mergeCell ref="D98:H98"/>
    <mergeCell ref="D99:H99"/>
    <mergeCell ref="L98:O98"/>
    <mergeCell ref="L99:O99"/>
    <mergeCell ref="Q98:T98"/>
    <mergeCell ref="O101:T101"/>
    <mergeCell ref="O102:T102"/>
    <mergeCell ref="O104:T104"/>
    <mergeCell ref="O105:T105"/>
    <mergeCell ref="B101:E101"/>
    <mergeCell ref="B100:E100"/>
    <mergeCell ref="A102:E102"/>
    <mergeCell ref="B104:E104"/>
    <mergeCell ref="B105:E105"/>
    <mergeCell ref="A46:A51"/>
    <mergeCell ref="A58:A62"/>
    <mergeCell ref="A52:A57"/>
    <mergeCell ref="B93:B94"/>
    <mergeCell ref="A93:A94"/>
    <mergeCell ref="C73:P73"/>
    <mergeCell ref="C78:P78"/>
    <mergeCell ref="B74:B78"/>
    <mergeCell ref="B63:B69"/>
    <mergeCell ref="A63:A69"/>
    <mergeCell ref="B70:B73"/>
    <mergeCell ref="A70:A73"/>
    <mergeCell ref="AB7:AE7"/>
    <mergeCell ref="C57:O57"/>
    <mergeCell ref="C62:P62"/>
    <mergeCell ref="C11:O11"/>
    <mergeCell ref="C38:O38"/>
    <mergeCell ref="C41:O41"/>
    <mergeCell ref="C44:O44"/>
    <mergeCell ref="C51:O51"/>
    <mergeCell ref="A45:O45"/>
    <mergeCell ref="B9:B11"/>
    <mergeCell ref="B42:B44"/>
    <mergeCell ref="A12:A38"/>
    <mergeCell ref="U7:AA7"/>
    <mergeCell ref="A9:A11"/>
    <mergeCell ref="B46:B51"/>
    <mergeCell ref="K7:O7"/>
    <mergeCell ref="A79:A81"/>
    <mergeCell ref="A92:L92"/>
    <mergeCell ref="B79:B81"/>
    <mergeCell ref="A86:A91"/>
    <mergeCell ref="B86:B91"/>
    <mergeCell ref="B82:B85"/>
    <mergeCell ref="C81:G81"/>
    <mergeCell ref="C85:P85"/>
    <mergeCell ref="A82:A85"/>
    <mergeCell ref="A42:A44"/>
    <mergeCell ref="A74:A78"/>
    <mergeCell ref="C69:P69"/>
    <mergeCell ref="A39:A41"/>
    <mergeCell ref="A7:A8"/>
    <mergeCell ref="B7:B8"/>
    <mergeCell ref="D7:D8"/>
    <mergeCell ref="C7:C8"/>
    <mergeCell ref="B52:B57"/>
    <mergeCell ref="B58:B62"/>
    <mergeCell ref="B12:B38"/>
    <mergeCell ref="B39:B41"/>
    <mergeCell ref="A1:B5"/>
    <mergeCell ref="A6:B6"/>
    <mergeCell ref="I7:I8"/>
    <mergeCell ref="E7:E8"/>
    <mergeCell ref="F7:F8"/>
    <mergeCell ref="G7:G8"/>
    <mergeCell ref="D6:T6"/>
    <mergeCell ref="H7:H8"/>
    <mergeCell ref="Q1:T1"/>
    <mergeCell ref="Q2:T3"/>
    <mergeCell ref="Q4:T4"/>
    <mergeCell ref="Q5:T5"/>
    <mergeCell ref="D1:O5"/>
    <mergeCell ref="J7:J8"/>
    <mergeCell ref="Q7:T7"/>
  </mergeCells>
  <dataValidations count="2">
    <dataValidation type="list" allowBlank="1" showInputMessage="1" showErrorMessage="1" sqref="O34:O37">
      <formula1>modalidad</formula1>
    </dataValidation>
    <dataValidation type="list" allowBlank="1" showInputMessage="1" showErrorMessage="1" sqref="O9:O10 O70:O72 O42 O52:O54 O58:O59 O46:O49 O79:O80 O82:O83 O12:O33 O63:O66 O39:O40 O86:O90">
      <formula1>listas</formula1>
    </dataValidation>
  </dataValidations>
  <hyperlinks>
    <hyperlink ref="G9" r:id="rId1"/>
    <hyperlink ref="G12" r:id="rId2"/>
    <hyperlink ref="G15:G24" r:id="rId3" display="olsanchez@idep.edu.co"/>
    <hyperlink ref="G21" r:id="rId4"/>
    <hyperlink ref="G27" r:id="rId5"/>
    <hyperlink ref="G28" r:id="rId6"/>
    <hyperlink ref="G39" r:id="rId7"/>
    <hyperlink ref="G42" r:id="rId8"/>
    <hyperlink ref="G46" r:id="rId9"/>
    <hyperlink ref="G47" r:id="rId10"/>
    <hyperlink ref="G48" r:id="rId11"/>
    <hyperlink ref="G49" r:id="rId12"/>
    <hyperlink ref="G58" r:id="rId13"/>
    <hyperlink ref="G63" r:id="rId14"/>
    <hyperlink ref="G65" r:id="rId15"/>
    <hyperlink ref="G70" r:id="rId16"/>
    <hyperlink ref="G71" r:id="rId17"/>
    <hyperlink ref="G79" r:id="rId18"/>
    <hyperlink ref="G82" r:id="rId19"/>
    <hyperlink ref="G83" r:id="rId20"/>
    <hyperlink ref="G84" r:id="rId21"/>
    <hyperlink ref="G86" r:id="rId22"/>
    <hyperlink ref="G52" r:id="rId23"/>
    <hyperlink ref="G54" r:id="rId24"/>
    <hyperlink ref="G56" r:id="rId25"/>
    <hyperlink ref="G43" r:id="rId26"/>
    <hyperlink ref="G61" r:id="rId27"/>
    <hyperlink ref="G67" r:id="rId28"/>
    <hyperlink ref="G74" r:id="rId29"/>
    <hyperlink ref="G75" r:id="rId30"/>
    <hyperlink ref="G76" r:id="rId31"/>
    <hyperlink ref="G77" r:id="rId32"/>
    <hyperlink ref="G93" r:id="rId33"/>
    <hyperlink ref="G60" r:id="rId34"/>
    <hyperlink ref="G50" r:id="rId35"/>
    <hyperlink ref="G55" r:id="rId36"/>
    <hyperlink ref="G34" r:id="rId37"/>
    <hyperlink ref="G22" r:id="rId38"/>
    <hyperlink ref="G29" r:id="rId39"/>
    <hyperlink ref="G31" r:id="rId40"/>
    <hyperlink ref="G72" r:id="rId41"/>
    <hyperlink ref="G40" r:id="rId42"/>
    <hyperlink ref="G32" r:id="rId43"/>
    <hyperlink ref="G25" r:id="rId44"/>
    <hyperlink ref="G13" r:id="rId45"/>
    <hyperlink ref="G36" r:id="rId46"/>
  </hyperlinks>
  <printOptions horizontalCentered="1" verticalCentered="1"/>
  <pageMargins left="0.23622047244094491" right="0.43307086614173229" top="0.94488188976377963" bottom="0.74803149606299213" header="0.51181102362204722" footer="0.31496062992125984"/>
  <pageSetup paperSize="41" scale="60" orientation="landscape" r:id="rId47"/>
  <headerFooter>
    <oddFooter>&amp;LElaboró: Oficina Asesora de Planeación 
Martha cecilia Quintero B&amp;C&amp;P&amp;RPlan de Adquisiciones  Final 2018</oddFooter>
  </headerFooter>
  <rowBreaks count="3" manualBreakCount="3">
    <brk id="38" max="16383" man="1"/>
    <brk id="70" max="30" man="1"/>
    <brk id="101" max="30" man="1"/>
  </rowBreaks>
  <colBreaks count="1" manualBreakCount="1">
    <brk id="20" max="1048575" man="1"/>
  </colBreaks>
  <drawing r:id="rId48"/>
  <legacyDrawing r:id="rId4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L24"/>
  <sheetViews>
    <sheetView topLeftCell="A7" workbookViewId="0">
      <selection activeCell="G12" sqref="G12"/>
    </sheetView>
  </sheetViews>
  <sheetFormatPr baseColWidth="10" defaultRowHeight="15" x14ac:dyDescent="0.25"/>
  <cols>
    <col min="1" max="1" width="0.7109375" customWidth="1"/>
    <col min="2" max="2" width="2.5703125" hidden="1" customWidth="1"/>
    <col min="3" max="3" width="11.42578125" hidden="1" customWidth="1"/>
    <col min="4" max="4" width="16" customWidth="1"/>
    <col min="5" max="5" width="15.5703125" customWidth="1"/>
  </cols>
  <sheetData>
    <row r="4" spans="4:12" ht="25.5" customHeight="1" x14ac:dyDescent="0.25">
      <c r="D4" s="1136" t="s">
        <v>1182</v>
      </c>
      <c r="E4" s="1484" t="s">
        <v>1183</v>
      </c>
      <c r="F4" s="1484"/>
      <c r="G4" s="1484"/>
      <c r="H4" s="1484"/>
      <c r="I4" s="1484"/>
      <c r="J4" s="1484"/>
      <c r="K4" s="799"/>
      <c r="L4" s="799"/>
    </row>
    <row r="5" spans="4:12" x14ac:dyDescent="0.25">
      <c r="D5" s="1137" t="s">
        <v>1184</v>
      </c>
      <c r="E5" s="1137" t="s">
        <v>1185</v>
      </c>
      <c r="F5" s="799"/>
      <c r="G5" s="799"/>
      <c r="H5" s="799"/>
      <c r="I5" s="799"/>
      <c r="J5" s="799"/>
      <c r="K5" s="799"/>
      <c r="L5" s="799"/>
    </row>
    <row r="6" spans="4:12" x14ac:dyDescent="0.25">
      <c r="D6" s="1137" t="s">
        <v>951</v>
      </c>
      <c r="E6" s="1137" t="s">
        <v>1186</v>
      </c>
      <c r="F6" s="799"/>
      <c r="G6" s="799"/>
      <c r="H6" s="799"/>
      <c r="I6" s="799"/>
      <c r="J6" s="799"/>
      <c r="K6" s="799"/>
      <c r="L6" s="799"/>
    </row>
    <row r="7" spans="4:12" x14ac:dyDescent="0.25">
      <c r="D7" s="1137" t="s">
        <v>1187</v>
      </c>
      <c r="E7" s="1137" t="s">
        <v>1188</v>
      </c>
      <c r="F7" s="799"/>
      <c r="G7" s="799"/>
      <c r="H7" s="799"/>
      <c r="I7" s="799"/>
      <c r="J7" s="799"/>
      <c r="K7" s="799"/>
      <c r="L7" s="799"/>
    </row>
    <row r="8" spans="4:12" x14ac:dyDescent="0.25">
      <c r="D8" s="1137" t="s">
        <v>953</v>
      </c>
      <c r="E8" s="1137" t="s">
        <v>954</v>
      </c>
      <c r="F8" s="799"/>
      <c r="G8" s="799"/>
      <c r="H8" s="799"/>
      <c r="I8" s="799"/>
      <c r="J8" s="799"/>
      <c r="K8" s="799"/>
      <c r="L8" s="799"/>
    </row>
    <row r="9" spans="4:12" x14ac:dyDescent="0.25">
      <c r="D9" s="1137" t="s">
        <v>955</v>
      </c>
      <c r="E9" s="1137" t="s">
        <v>610</v>
      </c>
      <c r="F9" s="799"/>
      <c r="G9" s="799"/>
      <c r="H9" s="799"/>
      <c r="I9" s="799"/>
      <c r="J9" s="799"/>
      <c r="K9" s="799"/>
      <c r="L9" s="799"/>
    </row>
    <row r="10" spans="4:12" x14ac:dyDescent="0.25">
      <c r="D10" s="1137" t="s">
        <v>595</v>
      </c>
      <c r="E10" s="1137" t="s">
        <v>1189</v>
      </c>
      <c r="F10" s="799"/>
      <c r="G10" s="799"/>
      <c r="H10" s="799"/>
      <c r="I10" s="799"/>
      <c r="J10" s="799"/>
      <c r="K10" s="799"/>
      <c r="L10" s="799"/>
    </row>
    <row r="11" spans="4:12" x14ac:dyDescent="0.25">
      <c r="D11" s="1137" t="s">
        <v>598</v>
      </c>
      <c r="E11" s="1137" t="s">
        <v>612</v>
      </c>
      <c r="F11" s="799"/>
      <c r="G11" s="799"/>
      <c r="H11" s="799"/>
      <c r="I11" s="799"/>
      <c r="J11" s="799"/>
      <c r="K11" s="799"/>
      <c r="L11" s="799"/>
    </row>
    <row r="12" spans="4:12" ht="76.5" x14ac:dyDescent="0.25">
      <c r="D12" s="1138" t="s">
        <v>1190</v>
      </c>
      <c r="E12" s="1137" t="s">
        <v>1191</v>
      </c>
      <c r="F12" s="799"/>
      <c r="G12" s="799"/>
      <c r="H12" s="799"/>
      <c r="I12" s="799"/>
      <c r="J12" s="799"/>
      <c r="K12" s="799"/>
      <c r="L12" s="799"/>
    </row>
    <row r="13" spans="4:12" x14ac:dyDescent="0.25">
      <c r="D13" s="1137" t="s">
        <v>956</v>
      </c>
      <c r="E13" s="1137" t="s">
        <v>950</v>
      </c>
      <c r="F13" s="799"/>
      <c r="G13" s="799"/>
      <c r="H13" s="799"/>
      <c r="I13" s="799"/>
      <c r="J13" s="799"/>
      <c r="K13" s="799"/>
      <c r="L13" s="799"/>
    </row>
    <row r="14" spans="4:12" x14ac:dyDescent="0.25">
      <c r="D14" s="1137" t="s">
        <v>596</v>
      </c>
      <c r="E14" s="1137" t="s">
        <v>597</v>
      </c>
      <c r="F14" s="799"/>
      <c r="G14" s="799"/>
      <c r="H14" s="799"/>
      <c r="I14" s="799"/>
      <c r="J14" s="799"/>
      <c r="K14" s="799"/>
      <c r="L14" s="799"/>
    </row>
    <row r="15" spans="4:12" x14ac:dyDescent="0.25">
      <c r="D15" s="1137" t="s">
        <v>1192</v>
      </c>
      <c r="E15" s="1137" t="s">
        <v>1193</v>
      </c>
      <c r="F15" s="799"/>
      <c r="G15" s="799"/>
      <c r="H15" s="799"/>
      <c r="I15" s="799"/>
      <c r="J15" s="799"/>
      <c r="K15" s="799"/>
      <c r="L15" s="799"/>
    </row>
    <row r="16" spans="4:12" x14ac:dyDescent="0.25">
      <c r="D16" s="1137" t="s">
        <v>1194</v>
      </c>
      <c r="E16" s="1137" t="s">
        <v>1195</v>
      </c>
      <c r="F16" s="799"/>
      <c r="G16" s="799"/>
      <c r="H16" s="799"/>
      <c r="I16" s="799"/>
      <c r="J16" s="799"/>
      <c r="K16" s="799"/>
      <c r="L16" s="799"/>
    </row>
    <row r="17" spans="4:12" x14ac:dyDescent="0.25">
      <c r="D17" s="1137" t="s">
        <v>1196</v>
      </c>
      <c r="E17" s="1137" t="s">
        <v>1197</v>
      </c>
      <c r="F17" s="799"/>
      <c r="G17" s="799"/>
      <c r="H17" s="799"/>
      <c r="I17" s="799"/>
      <c r="J17" s="799"/>
      <c r="K17" s="799"/>
      <c r="L17" s="799"/>
    </row>
    <row r="18" spans="4:12" x14ac:dyDescent="0.25">
      <c r="D18" s="1137" t="s">
        <v>1198</v>
      </c>
      <c r="E18" s="1137" t="s">
        <v>1199</v>
      </c>
      <c r="F18" s="799"/>
      <c r="G18" s="799"/>
      <c r="H18" s="799"/>
      <c r="I18" s="799"/>
      <c r="J18" s="799"/>
      <c r="K18" s="799"/>
      <c r="L18" s="799"/>
    </row>
    <row r="19" spans="4:12" x14ac:dyDescent="0.25">
      <c r="D19" s="1137" t="s">
        <v>1200</v>
      </c>
      <c r="E19" s="1137" t="s">
        <v>1201</v>
      </c>
      <c r="F19" s="799"/>
      <c r="G19" s="799"/>
      <c r="H19" s="799"/>
      <c r="I19" s="799"/>
      <c r="J19" s="799"/>
      <c r="K19" s="799"/>
      <c r="L19" s="799"/>
    </row>
    <row r="20" spans="4:12" x14ac:dyDescent="0.25">
      <c r="D20" s="1137" t="s">
        <v>1202</v>
      </c>
      <c r="E20" s="1137" t="s">
        <v>1203</v>
      </c>
      <c r="F20" s="799"/>
      <c r="G20" s="799"/>
      <c r="H20" s="799"/>
      <c r="I20" s="799"/>
      <c r="J20" s="799"/>
      <c r="K20" s="799"/>
      <c r="L20" s="799"/>
    </row>
    <row r="21" spans="4:12" x14ac:dyDescent="0.25">
      <c r="D21" s="1137" t="s">
        <v>1204</v>
      </c>
      <c r="E21" s="1137" t="s">
        <v>1205</v>
      </c>
      <c r="F21" s="799"/>
      <c r="G21" s="799"/>
      <c r="H21" s="799"/>
      <c r="I21" s="799"/>
      <c r="J21" s="799"/>
      <c r="K21" s="799"/>
      <c r="L21" s="799"/>
    </row>
    <row r="22" spans="4:12" x14ac:dyDescent="0.25">
      <c r="D22" s="1137" t="s">
        <v>1206</v>
      </c>
      <c r="E22" s="1137" t="s">
        <v>1207</v>
      </c>
      <c r="F22" s="799"/>
      <c r="G22" s="799"/>
      <c r="H22" s="799"/>
      <c r="I22" s="799"/>
      <c r="J22" s="799"/>
      <c r="K22" s="799"/>
      <c r="L22" s="799"/>
    </row>
    <row r="23" spans="4:12" x14ac:dyDescent="0.25">
      <c r="D23" s="1137" t="s">
        <v>1208</v>
      </c>
      <c r="E23" s="1137" t="s">
        <v>611</v>
      </c>
      <c r="F23" s="799"/>
      <c r="G23" s="799"/>
      <c r="H23" s="799"/>
      <c r="I23" s="799"/>
      <c r="J23" s="799"/>
      <c r="K23" s="799"/>
      <c r="L23" s="799"/>
    </row>
    <row r="24" spans="4:12" x14ac:dyDescent="0.25">
      <c r="D24" s="1137" t="s">
        <v>957</v>
      </c>
      <c r="E24" s="1137" t="s">
        <v>1209</v>
      </c>
      <c r="F24" s="799"/>
      <c r="G24" s="799"/>
      <c r="H24" s="799"/>
      <c r="I24" s="799"/>
      <c r="J24" s="799"/>
      <c r="K24" s="799"/>
      <c r="L24" s="799"/>
    </row>
  </sheetData>
  <mergeCells count="1">
    <mergeCell ref="E4:J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0"/>
  <sheetViews>
    <sheetView workbookViewId="0">
      <selection activeCell="C4" sqref="C4"/>
    </sheetView>
  </sheetViews>
  <sheetFormatPr baseColWidth="10" defaultRowHeight="15" x14ac:dyDescent="0.25"/>
  <cols>
    <col min="3" max="3" width="38.140625" customWidth="1"/>
  </cols>
  <sheetData>
    <row r="1" spans="2:3" x14ac:dyDescent="0.25">
      <c r="B1" t="s">
        <v>951</v>
      </c>
      <c r="C1" t="s">
        <v>952</v>
      </c>
    </row>
    <row r="2" spans="2:3" x14ac:dyDescent="0.25">
      <c r="B2" t="s">
        <v>953</v>
      </c>
      <c r="C2" t="s">
        <v>954</v>
      </c>
    </row>
    <row r="3" spans="2:3" x14ac:dyDescent="0.25">
      <c r="B3" t="s">
        <v>955</v>
      </c>
      <c r="C3" t="s">
        <v>610</v>
      </c>
    </row>
    <row r="4" spans="2:3" x14ac:dyDescent="0.25">
      <c r="B4" t="s">
        <v>595</v>
      </c>
      <c r="C4" t="s">
        <v>1032</v>
      </c>
    </row>
    <row r="5" spans="2:3" x14ac:dyDescent="0.25">
      <c r="B5" t="s">
        <v>598</v>
      </c>
      <c r="C5" t="s">
        <v>612</v>
      </c>
    </row>
    <row r="6" spans="2:3" x14ac:dyDescent="0.25">
      <c r="B6" t="s">
        <v>956</v>
      </c>
      <c r="C6" t="s">
        <v>950</v>
      </c>
    </row>
    <row r="7" spans="2:3" x14ac:dyDescent="0.25">
      <c r="B7" t="s">
        <v>596</v>
      </c>
      <c r="C7" t="s">
        <v>597</v>
      </c>
    </row>
    <row r="8" spans="2:3" x14ac:dyDescent="0.25">
      <c r="B8" t="s">
        <v>957</v>
      </c>
      <c r="C8" t="s">
        <v>958</v>
      </c>
    </row>
    <row r="10" spans="2:3" x14ac:dyDescent="0.25">
      <c r="B10" t="s">
        <v>959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Z21"/>
  <sheetViews>
    <sheetView topLeftCell="C1" workbookViewId="0">
      <selection activeCell="I7" sqref="I7"/>
    </sheetView>
  </sheetViews>
  <sheetFormatPr baseColWidth="10" defaultRowHeight="15" x14ac:dyDescent="0.25"/>
  <cols>
    <col min="3" max="3" width="15.85546875" customWidth="1"/>
    <col min="4" max="4" width="14.5703125" bestFit="1" customWidth="1"/>
    <col min="5" max="5" width="18.7109375" customWidth="1"/>
    <col min="6" max="6" width="14.140625" customWidth="1"/>
    <col min="7" max="7" width="14.85546875" customWidth="1"/>
    <col min="8" max="8" width="7.28515625" customWidth="1"/>
    <col min="9" max="9" width="15.42578125" customWidth="1"/>
    <col min="10" max="10" width="7.28515625" customWidth="1"/>
    <col min="11" max="11" width="0.5703125" customWidth="1"/>
    <col min="12" max="12" width="17.7109375" customWidth="1"/>
  </cols>
  <sheetData>
    <row r="2" spans="3:26" ht="15.75" thickBot="1" x14ac:dyDescent="0.3"/>
    <row r="3" spans="3:26" ht="15.75" thickBot="1" x14ac:dyDescent="0.3">
      <c r="C3" s="1485" t="s">
        <v>1211</v>
      </c>
      <c r="D3" s="1485"/>
      <c r="E3" s="1485"/>
      <c r="F3" s="1485"/>
      <c r="G3" s="1485"/>
      <c r="H3" s="1485"/>
      <c r="I3" s="1485"/>
      <c r="J3" s="1485"/>
      <c r="K3" s="805"/>
      <c r="L3" s="896"/>
      <c r="M3" s="897"/>
      <c r="N3" s="898"/>
    </row>
    <row r="4" spans="3:26" ht="30" x14ac:dyDescent="0.25">
      <c r="C4" s="806" t="s">
        <v>940</v>
      </c>
      <c r="D4" s="807" t="s">
        <v>960</v>
      </c>
      <c r="E4" s="807" t="s">
        <v>941</v>
      </c>
      <c r="F4" s="807" t="s">
        <v>1143</v>
      </c>
      <c r="G4" s="807" t="s">
        <v>942</v>
      </c>
      <c r="H4" s="807" t="s">
        <v>1064</v>
      </c>
      <c r="I4" s="807" t="s">
        <v>943</v>
      </c>
      <c r="J4" s="1082" t="s">
        <v>1064</v>
      </c>
      <c r="L4" s="806"/>
      <c r="M4" s="808"/>
      <c r="N4" s="807"/>
    </row>
    <row r="5" spans="3:26" x14ac:dyDescent="0.25">
      <c r="C5" s="799" t="s">
        <v>944</v>
      </c>
      <c r="D5" s="801">
        <f>+'funcionamiento '!T97</f>
        <v>900000000.20000005</v>
      </c>
      <c r="E5" s="801">
        <v>838556605</v>
      </c>
      <c r="F5" s="801">
        <f>+D5-E5</f>
        <v>61443395.200000048</v>
      </c>
      <c r="G5" s="801">
        <f>+'funcionamiento '!X97</f>
        <v>838556605</v>
      </c>
      <c r="H5" s="1085">
        <f>+G5/D5</f>
        <v>0.93172956090406001</v>
      </c>
      <c r="I5" s="801">
        <f>+'funcionamiento '!AB97</f>
        <v>686702957</v>
      </c>
      <c r="J5" s="1085">
        <f>+I5/D5</f>
        <v>0.76300328538599926</v>
      </c>
      <c r="L5" s="799"/>
      <c r="M5" s="1085"/>
      <c r="N5" s="1085"/>
    </row>
    <row r="6" spans="3:26" x14ac:dyDescent="0.25">
      <c r="C6" s="799" t="s">
        <v>945</v>
      </c>
      <c r="D6" s="801">
        <f>+' INVERSIÓN'!Z204</f>
        <v>6911692484.0079994</v>
      </c>
      <c r="E6" s="801">
        <v>6895463756</v>
      </c>
      <c r="F6" s="801">
        <f t="shared" ref="F6:F7" si="0">+D6-E6</f>
        <v>16228728.00799942</v>
      </c>
      <c r="G6" s="801">
        <f>+' INVERSIÓN'!AD204</f>
        <v>6895463756.0079994</v>
      </c>
      <c r="H6" s="1083">
        <f t="shared" ref="H6:H7" si="1">+G6/D6</f>
        <v>0.99765198928662557</v>
      </c>
      <c r="I6" s="801">
        <f>+' INVERSIÓN'!AK204</f>
        <v>6793126277</v>
      </c>
      <c r="J6" s="827">
        <f t="shared" ref="J6:J7" si="2">+I6/D6</f>
        <v>0.98284556101384235</v>
      </c>
      <c r="L6" s="799"/>
      <c r="M6" s="1083"/>
      <c r="N6" s="827"/>
    </row>
    <row r="7" spans="3:26" x14ac:dyDescent="0.25">
      <c r="C7" s="800" t="s">
        <v>554</v>
      </c>
      <c r="D7" s="802">
        <f>SUM(D5:D6)</f>
        <v>7811692484.2079992</v>
      </c>
      <c r="E7" s="802">
        <f t="shared" ref="E7:G7" si="3">SUM(E5:E6)</f>
        <v>7734020361</v>
      </c>
      <c r="F7" s="801">
        <f t="shared" si="0"/>
        <v>77672123.207999229</v>
      </c>
      <c r="G7" s="802">
        <f t="shared" si="3"/>
        <v>7734020361.0079994</v>
      </c>
      <c r="H7" s="1084">
        <f t="shared" si="1"/>
        <v>0.99005694049567095</v>
      </c>
      <c r="I7" s="803">
        <f>SUM(I5:I6)</f>
        <v>7479829234</v>
      </c>
      <c r="J7" s="1084">
        <f t="shared" si="2"/>
        <v>0.95751711285628704</v>
      </c>
      <c r="L7" s="800"/>
      <c r="M7" s="1084"/>
      <c r="N7" s="1084"/>
    </row>
    <row r="9" spans="3:26" x14ac:dyDescent="0.25">
      <c r="G9" s="804"/>
      <c r="H9" s="804"/>
    </row>
    <row r="10" spans="3:26" x14ac:dyDescent="0.25">
      <c r="L10" s="809">
        <f>+'[4]GASTOS GENERALES'!V103</f>
        <v>0</v>
      </c>
    </row>
    <row r="11" spans="3:26" ht="15.75" thickBot="1" x14ac:dyDescent="0.3">
      <c r="L11" s="810"/>
    </row>
    <row r="12" spans="3:26" ht="15.75" thickBot="1" x14ac:dyDescent="0.3">
      <c r="L12" s="810"/>
      <c r="X12" s="842"/>
      <c r="Y12" s="842"/>
      <c r="Z12" s="842"/>
    </row>
    <row r="13" spans="3:26" ht="15.75" thickBot="1" x14ac:dyDescent="0.3">
      <c r="X13" s="843"/>
      <c r="Y13" s="844"/>
      <c r="Z13" s="844"/>
    </row>
    <row r="14" spans="3:26" ht="15.75" thickBot="1" x14ac:dyDescent="0.3">
      <c r="L14" s="811"/>
      <c r="X14" s="843"/>
      <c r="Y14" s="844"/>
      <c r="Z14" s="844"/>
    </row>
    <row r="15" spans="3:26" ht="15.75" thickBot="1" x14ac:dyDescent="0.3">
      <c r="X15" s="842"/>
      <c r="Y15" s="844"/>
      <c r="Z15" s="844"/>
    </row>
    <row r="17" spans="12:26" x14ac:dyDescent="0.25">
      <c r="L17" s="811"/>
      <c r="W17" s="836"/>
      <c r="X17" s="836"/>
      <c r="Y17" s="836"/>
      <c r="Z17" s="837"/>
    </row>
    <row r="18" spans="12:26" x14ac:dyDescent="0.25">
      <c r="W18" s="838"/>
      <c r="X18" s="839"/>
      <c r="Y18" s="840"/>
      <c r="Z18" s="837"/>
    </row>
    <row r="19" spans="12:26" x14ac:dyDescent="0.25">
      <c r="N19" s="1085"/>
      <c r="W19" s="838"/>
      <c r="X19" s="839"/>
      <c r="Y19" s="840"/>
      <c r="Z19" s="837"/>
    </row>
    <row r="20" spans="12:26" x14ac:dyDescent="0.25">
      <c r="W20" s="836"/>
      <c r="X20" s="839"/>
      <c r="Y20" s="839"/>
      <c r="Z20" s="837"/>
    </row>
    <row r="21" spans="12:26" x14ac:dyDescent="0.25">
      <c r="W21" s="837"/>
      <c r="X21" s="837"/>
      <c r="Y21" s="837"/>
      <c r="Z21" s="837"/>
    </row>
  </sheetData>
  <mergeCells count="1">
    <mergeCell ref="C3:J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Plan de Compras-2013</vt:lpstr>
      <vt:lpstr> INVERSIÓN</vt:lpstr>
      <vt:lpstr>funcionamiento </vt:lpstr>
      <vt:lpstr>Hoja1</vt:lpstr>
      <vt:lpstr>listas</vt:lpstr>
      <vt:lpstr>resumen</vt:lpstr>
      <vt:lpstr>' INVERSIÓN'!Área_de_impresión</vt:lpstr>
      <vt:lpstr>'funcionamiento '!Área_de_impresión</vt:lpstr>
      <vt:lpstr>' INVERSIÓN'!Títulos_a_imprimir</vt:lpstr>
      <vt:lpstr>'funcionamiento '!Títulos_a_imprimir</vt:lpstr>
      <vt:lpstr>'Plan de Compras-2013'!Títulos_a_imprimir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Cecilia Quintero Barreiro</dc:creator>
  <cp:lastModifiedBy>Adriana Correa Guarín</cp:lastModifiedBy>
  <cp:lastPrinted>2019-01-22T21:44:23Z</cp:lastPrinted>
  <dcterms:created xsi:type="dcterms:W3CDTF">2013-11-26T11:49:28Z</dcterms:created>
  <dcterms:modified xsi:type="dcterms:W3CDTF">2019-01-22T21:59:26Z</dcterms:modified>
</cp:coreProperties>
</file>