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1250" windowHeight="3465" tabRatio="599"/>
  </bookViews>
  <sheets>
    <sheet name="Plan de Adquisiciones " sheetId="2" r:id="rId1"/>
    <sheet name="GASTOS GENERALES" sheetId="5" r:id="rId2"/>
    <sheet name="ejecución" sheetId="16" r:id="rId3"/>
    <sheet name="SECOP II" sheetId="27" r:id="rId4"/>
    <sheet name="cronograma" sheetId="29" r:id="rId5"/>
    <sheet name="plan de acción" sheetId="30" r:id="rId6"/>
    <sheet name="TD Inversión" sheetId="21" r:id="rId7"/>
    <sheet name="TD Gastos Generales" sheetId="24" r:id="rId8"/>
    <sheet name="GG." sheetId="20" r:id="rId9"/>
    <sheet name="INVERSIÓN." sheetId="19" r:id="rId10"/>
    <sheet name="GG" sheetId="14" state="hidden" r:id="rId11"/>
    <sheet name="INVERSIÓN" sheetId="15" state="hidden" r:id="rId12"/>
    <sheet name="PARA IMPRIMIR" sheetId="26" r:id="rId13"/>
    <sheet name="Hoja4" sheetId="31" r:id="rId14"/>
  </sheets>
  <definedNames>
    <definedName name="_xlnm._FilterDatabase" localSheetId="1" hidden="1">'GASTOS GENERALES'!$U$6:$W$94</definedName>
    <definedName name="_xlnm._FilterDatabase" localSheetId="10" hidden="1">GG!$A$1:$V$55</definedName>
    <definedName name="_xlnm._FilterDatabase" localSheetId="8" hidden="1">GG.!$A$1:$Z$51</definedName>
    <definedName name="_xlnm._FilterDatabase" localSheetId="11" hidden="1">INVERSIÓN!$A$2:$CS$116</definedName>
    <definedName name="_xlnm._FilterDatabase" localSheetId="9" hidden="1">INVERSIÓN.!$A$2:$CW$116</definedName>
    <definedName name="_xlnm._FilterDatabase" localSheetId="0" hidden="1">'Plan de Adquisiciones '!$A$15:$AD$179</definedName>
    <definedName name="_xlnm._FilterDatabase" localSheetId="3" hidden="1">'SECOP II'!$A$4:$Q$124</definedName>
    <definedName name="_xlnm.Print_Area" localSheetId="1">'GASTOS GENERALES'!$A$1:$Z$102</definedName>
    <definedName name="_xlnm.Print_Area" localSheetId="12">'PARA IMPRIMIR'!$A$1:$O$171</definedName>
    <definedName name="_xlnm.Print_Area" localSheetId="0">'Plan de Adquisiciones '!$A$1:$AE$881</definedName>
    <definedName name="_xlnm.Print_Titles" localSheetId="1">'GASTOS GENERALES'!$7:$8</definedName>
    <definedName name="_xlnm.Print_Titles" localSheetId="12">'PARA IMPRIMIR'!$134:$139</definedName>
    <definedName name="_xlnm.Print_Titles" localSheetId="0">'Plan de Adquisiciones '!$14:$15</definedName>
  </definedNames>
  <calcPr calcId="144525"/>
  <pivotCaches>
    <pivotCache cacheId="12" r:id="rId15"/>
    <pivotCache cacheId="13" r:id="rId16"/>
  </pivotCaches>
</workbook>
</file>

<file path=xl/calcChain.xml><?xml version="1.0" encoding="utf-8"?>
<calcChain xmlns="http://schemas.openxmlformats.org/spreadsheetml/2006/main">
  <c r="AB143" i="2" l="1"/>
  <c r="S172" i="2"/>
  <c r="T171" i="2"/>
  <c r="R170" i="2"/>
  <c r="T170" i="2" s="1"/>
  <c r="T169" i="2"/>
  <c r="T168" i="2"/>
  <c r="T167" i="2"/>
  <c r="T166" i="2"/>
  <c r="R165" i="2"/>
  <c r="R172" i="2" s="1"/>
  <c r="E165" i="2"/>
  <c r="D165" i="2"/>
  <c r="C165" i="2"/>
  <c r="B165" i="2"/>
  <c r="A165" i="2"/>
  <c r="R163" i="2"/>
  <c r="T163" i="2" s="1"/>
  <c r="T162" i="2"/>
  <c r="T161" i="2"/>
  <c r="T160" i="2"/>
  <c r="T159" i="2"/>
  <c r="S159" i="2"/>
  <c r="S164" i="2" s="1"/>
  <c r="R159" i="2"/>
  <c r="T158" i="2"/>
  <c r="T157" i="2"/>
  <c r="T156" i="2"/>
  <c r="T155" i="2"/>
  <c r="T154" i="2"/>
  <c r="T153" i="2"/>
  <c r="R153" i="2"/>
  <c r="R164" i="2" s="1"/>
  <c r="A153" i="2"/>
  <c r="R143" i="2"/>
  <c r="T142" i="2"/>
  <c r="T141" i="2"/>
  <c r="S140" i="2"/>
  <c r="T140" i="2" s="1"/>
  <c r="T139" i="2"/>
  <c r="T138" i="2"/>
  <c r="S137" i="2"/>
  <c r="S143" i="2" s="1"/>
  <c r="Q137" i="2"/>
  <c r="T136" i="2"/>
  <c r="S135" i="2"/>
  <c r="R135" i="2"/>
  <c r="T135" i="2" s="1"/>
  <c r="T134" i="2"/>
  <c r="S133" i="2"/>
  <c r="R133" i="2"/>
  <c r="T132" i="2"/>
  <c r="T133" i="2" s="1"/>
  <c r="R132" i="2"/>
  <c r="S131" i="2"/>
  <c r="S144" i="2" s="1"/>
  <c r="R131" i="2"/>
  <c r="R130" i="2"/>
  <c r="T130" i="2" s="1"/>
  <c r="T129" i="2"/>
  <c r="R129" i="2"/>
  <c r="T128" i="2"/>
  <c r="R127" i="2"/>
  <c r="T127" i="2" s="1"/>
  <c r="T126" i="2"/>
  <c r="R126" i="2"/>
  <c r="T125" i="2"/>
  <c r="T124" i="2"/>
  <c r="S123" i="2"/>
  <c r="T121" i="2"/>
  <c r="T120" i="2"/>
  <c r="T119" i="2"/>
  <c r="R118" i="2"/>
  <c r="R123" i="2" s="1"/>
  <c r="R144" i="2" s="1"/>
  <c r="T117" i="2"/>
  <c r="B117" i="2"/>
  <c r="T115" i="2"/>
  <c r="S115" i="2"/>
  <c r="R115" i="2"/>
  <c r="T114" i="2"/>
  <c r="T113" i="2"/>
  <c r="T112" i="2"/>
  <c r="S111" i="2"/>
  <c r="R111" i="2"/>
  <c r="T110" i="2"/>
  <c r="T111" i="2" s="1"/>
  <c r="R110" i="2"/>
  <c r="R109" i="2"/>
  <c r="R116" i="2" s="1"/>
  <c r="T108" i="2"/>
  <c r="S107" i="2"/>
  <c r="T107" i="2" s="1"/>
  <c r="T106" i="2"/>
  <c r="S106" i="2"/>
  <c r="S109" i="2" s="1"/>
  <c r="S116" i="2" s="1"/>
  <c r="T105" i="2"/>
  <c r="T104" i="2"/>
  <c r="T103" i="2"/>
  <c r="C103" i="2"/>
  <c r="B103" i="2"/>
  <c r="A103" i="2"/>
  <c r="T100" i="2"/>
  <c r="S99" i="2"/>
  <c r="S101" i="2" s="1"/>
  <c r="S102" i="2" s="1"/>
  <c r="T98" i="2"/>
  <c r="S97" i="2"/>
  <c r="T97" i="2" s="1"/>
  <c r="R96" i="2"/>
  <c r="T96" i="2" s="1"/>
  <c r="T95" i="2"/>
  <c r="T94" i="2"/>
  <c r="T93" i="2"/>
  <c r="T92" i="2"/>
  <c r="T91" i="2"/>
  <c r="R90" i="2"/>
  <c r="T90" i="2" s="1"/>
  <c r="T89" i="2"/>
  <c r="T88" i="2"/>
  <c r="T87" i="2"/>
  <c r="T86" i="2"/>
  <c r="T85" i="2"/>
  <c r="T84" i="2"/>
  <c r="S82" i="2"/>
  <c r="S83" i="2" s="1"/>
  <c r="S145" i="2" s="1"/>
  <c r="R82" i="2"/>
  <c r="R83" i="2" s="1"/>
  <c r="T81" i="2"/>
  <c r="T82" i="2" s="1"/>
  <c r="T83" i="2" s="1"/>
  <c r="A81" i="2"/>
  <c r="A117" i="2" s="1"/>
  <c r="S78" i="2"/>
  <c r="R78" i="2"/>
  <c r="T77" i="2"/>
  <c r="T78" i="2" s="1"/>
  <c r="S76" i="2"/>
  <c r="T75" i="2"/>
  <c r="R75" i="2"/>
  <c r="T74" i="2"/>
  <c r="T73" i="2"/>
  <c r="T71" i="2"/>
  <c r="T70" i="2"/>
  <c r="R69" i="2"/>
  <c r="T69" i="2" s="1"/>
  <c r="T68" i="2"/>
  <c r="T76" i="2" s="1"/>
  <c r="T67" i="2"/>
  <c r="R67" i="2"/>
  <c r="S66" i="2"/>
  <c r="S79" i="2" s="1"/>
  <c r="T65" i="2"/>
  <c r="T64" i="2"/>
  <c r="T63" i="2"/>
  <c r="T62" i="2"/>
  <c r="T61" i="2"/>
  <c r="R61" i="2"/>
  <c r="R60" i="2"/>
  <c r="T60" i="2" s="1"/>
  <c r="T66" i="2" s="1"/>
  <c r="T79" i="2" s="1"/>
  <c r="A60" i="2"/>
  <c r="R58" i="2"/>
  <c r="S57" i="2"/>
  <c r="S58" i="2" s="1"/>
  <c r="S59" i="2" s="1"/>
  <c r="T56" i="2"/>
  <c r="T55" i="2"/>
  <c r="T54" i="2"/>
  <c r="T53" i="2"/>
  <c r="T52" i="2"/>
  <c r="T51" i="2"/>
  <c r="T50" i="2"/>
  <c r="E50" i="2"/>
  <c r="S49" i="2"/>
  <c r="R49" i="2"/>
  <c r="T48" i="2"/>
  <c r="T47" i="2"/>
  <c r="T46" i="2"/>
  <c r="T45" i="2"/>
  <c r="T44" i="2"/>
  <c r="T43" i="2"/>
  <c r="T49" i="2" s="1"/>
  <c r="T42" i="2"/>
  <c r="T40" i="2"/>
  <c r="R40" i="2"/>
  <c r="R39" i="2"/>
  <c r="T39" i="2" s="1"/>
  <c r="T38" i="2"/>
  <c r="R38" i="2"/>
  <c r="R37" i="2"/>
  <c r="T37" i="2" s="1"/>
  <c r="T36" i="2"/>
  <c r="R36" i="2"/>
  <c r="R35" i="2"/>
  <c r="T35" i="2" s="1"/>
  <c r="T34" i="2"/>
  <c r="R34" i="2"/>
  <c r="E34" i="2"/>
  <c r="D34" i="2"/>
  <c r="D50" i="2" s="1"/>
  <c r="C34" i="2"/>
  <c r="C50" i="2" s="1"/>
  <c r="B34" i="2"/>
  <c r="B50" i="2" s="1"/>
  <c r="R33" i="2"/>
  <c r="R32" i="2"/>
  <c r="T32" i="2" s="1"/>
  <c r="T33" i="2" s="1"/>
  <c r="C32" i="2"/>
  <c r="C60" i="2" s="1"/>
  <c r="B32" i="2"/>
  <c r="B60" i="2" s="1"/>
  <c r="S31" i="2"/>
  <c r="S30" i="2"/>
  <c r="T29" i="2"/>
  <c r="R29" i="2"/>
  <c r="V29" i="2" s="1"/>
  <c r="X29" i="2" s="1"/>
  <c r="T28" i="2"/>
  <c r="R27" i="2"/>
  <c r="T27" i="2" s="1"/>
  <c r="T26" i="2"/>
  <c r="R25" i="2"/>
  <c r="T25" i="2" s="1"/>
  <c r="T24" i="2"/>
  <c r="R24" i="2"/>
  <c r="T23" i="2"/>
  <c r="T22" i="2"/>
  <c r="S20" i="2"/>
  <c r="S21" i="2" s="1"/>
  <c r="R19" i="2"/>
  <c r="T19" i="2" s="1"/>
  <c r="T18" i="2"/>
  <c r="R18" i="2"/>
  <c r="R17" i="2"/>
  <c r="T17" i="2" s="1"/>
  <c r="T20" i="2" s="1"/>
  <c r="T21" i="2" s="1"/>
  <c r="T16" i="2"/>
  <c r="R16" i="2"/>
  <c r="R20" i="2" s="1"/>
  <c r="R21" i="2" s="1"/>
  <c r="A16" i="2"/>
  <c r="A32" i="2" s="1"/>
  <c r="X171" i="2"/>
  <c r="X170" i="2"/>
  <c r="X169" i="2"/>
  <c r="X168" i="2"/>
  <c r="X167" i="2"/>
  <c r="X166" i="2"/>
  <c r="X172" i="2" s="1"/>
  <c r="W166" i="2"/>
  <c r="W172" i="2" s="1"/>
  <c r="V166" i="2"/>
  <c r="V172" i="2" s="1"/>
  <c r="W164" i="2"/>
  <c r="W173" i="2" s="1"/>
  <c r="W174" i="2" s="1"/>
  <c r="V164" i="2"/>
  <c r="V173" i="2" s="1"/>
  <c r="V174" i="2" s="1"/>
  <c r="X163" i="2"/>
  <c r="X162" i="2"/>
  <c r="X161" i="2"/>
  <c r="X159" i="2"/>
  <c r="X158" i="2"/>
  <c r="X157" i="2"/>
  <c r="X156" i="2"/>
  <c r="X155" i="2"/>
  <c r="X154" i="2"/>
  <c r="V153" i="2"/>
  <c r="X153" i="2" s="1"/>
  <c r="X164" i="2" s="1"/>
  <c r="V151" i="2"/>
  <c r="V143" i="2"/>
  <c r="X142" i="2"/>
  <c r="X141" i="2"/>
  <c r="X139" i="2"/>
  <c r="X138" i="2"/>
  <c r="X136" i="2"/>
  <c r="W135" i="2"/>
  <c r="V135" i="2"/>
  <c r="X134" i="2"/>
  <c r="X135" i="2" s="1"/>
  <c r="W133" i="2"/>
  <c r="V133" i="2"/>
  <c r="X132" i="2"/>
  <c r="X133" i="2" s="1"/>
  <c r="W131" i="2"/>
  <c r="V131" i="2"/>
  <c r="X130" i="2"/>
  <c r="V129" i="2"/>
  <c r="X129" i="2" s="1"/>
  <c r="X128" i="2"/>
  <c r="X127" i="2"/>
  <c r="X126" i="2"/>
  <c r="X125" i="2"/>
  <c r="X124" i="2"/>
  <c r="W123" i="2"/>
  <c r="X121" i="2"/>
  <c r="X120" i="2"/>
  <c r="V119" i="2"/>
  <c r="X119" i="2" s="1"/>
  <c r="V118" i="2"/>
  <c r="X118" i="2" s="1"/>
  <c r="V117" i="2"/>
  <c r="X117" i="2" s="1"/>
  <c r="W115" i="2"/>
  <c r="W116" i="2" s="1"/>
  <c r="V115" i="2"/>
  <c r="W114" i="2"/>
  <c r="X114" i="2" s="1"/>
  <c r="X113" i="2"/>
  <c r="X112" i="2"/>
  <c r="W111" i="2"/>
  <c r="V111" i="2"/>
  <c r="X110" i="2"/>
  <c r="X111" i="2" s="1"/>
  <c r="W109" i="2"/>
  <c r="V109" i="2"/>
  <c r="V116" i="2" s="1"/>
  <c r="X108" i="2"/>
  <c r="X107" i="2"/>
  <c r="X106" i="2"/>
  <c r="X105" i="2"/>
  <c r="X104" i="2"/>
  <c r="X103" i="2"/>
  <c r="X109" i="2" s="1"/>
  <c r="V101" i="2"/>
  <c r="V102" i="2" s="1"/>
  <c r="X100" i="2"/>
  <c r="X99" i="2"/>
  <c r="X98" i="2"/>
  <c r="X96" i="2"/>
  <c r="X95" i="2"/>
  <c r="X94" i="2"/>
  <c r="X93" i="2"/>
  <c r="W92" i="2"/>
  <c r="W101" i="2" s="1"/>
  <c r="W102" i="2" s="1"/>
  <c r="V92" i="2"/>
  <c r="X91" i="2"/>
  <c r="X90" i="2"/>
  <c r="X89" i="2"/>
  <c r="X88" i="2"/>
  <c r="X87" i="2"/>
  <c r="X86" i="2"/>
  <c r="X85" i="2"/>
  <c r="X84" i="2"/>
  <c r="W83" i="2"/>
  <c r="W82" i="2"/>
  <c r="V81" i="2"/>
  <c r="X81" i="2" s="1"/>
  <c r="X82" i="2" s="1"/>
  <c r="X83" i="2" s="1"/>
  <c r="X78" i="2"/>
  <c r="W78" i="2"/>
  <c r="V78" i="2"/>
  <c r="X77" i="2"/>
  <c r="W76" i="2"/>
  <c r="X75" i="2"/>
  <c r="X74" i="2"/>
  <c r="X73" i="2"/>
  <c r="X71" i="2"/>
  <c r="X70" i="2"/>
  <c r="V69" i="2"/>
  <c r="X69" i="2" s="1"/>
  <c r="X68" i="2"/>
  <c r="V67" i="2"/>
  <c r="W66" i="2"/>
  <c r="W79" i="2" s="1"/>
  <c r="X64" i="2"/>
  <c r="X63" i="2"/>
  <c r="X62" i="2"/>
  <c r="V61" i="2"/>
  <c r="X61" i="2" s="1"/>
  <c r="V60" i="2"/>
  <c r="X60" i="2" s="1"/>
  <c r="V58" i="2"/>
  <c r="X56" i="2"/>
  <c r="X55" i="2"/>
  <c r="X54" i="2"/>
  <c r="W53" i="2"/>
  <c r="X53" i="2" s="1"/>
  <c r="W52" i="2"/>
  <c r="X52" i="2" s="1"/>
  <c r="W51" i="2"/>
  <c r="W50" i="2"/>
  <c r="X50" i="2" s="1"/>
  <c r="V48" i="2"/>
  <c r="X48" i="2" s="1"/>
  <c r="X47" i="2"/>
  <c r="W46" i="2"/>
  <c r="X46" i="2" s="1"/>
  <c r="X45" i="2"/>
  <c r="W44" i="2"/>
  <c r="X44" i="2" s="1"/>
  <c r="W43" i="2"/>
  <c r="X43" i="2" s="1"/>
  <c r="X42" i="2"/>
  <c r="W41" i="2"/>
  <c r="V41" i="2"/>
  <c r="X40" i="2"/>
  <c r="X39" i="2"/>
  <c r="X38" i="2"/>
  <c r="X37" i="2"/>
  <c r="X36" i="2"/>
  <c r="X34" i="2"/>
  <c r="X41" i="2" s="1"/>
  <c r="X33" i="2"/>
  <c r="W33" i="2"/>
  <c r="V33" i="2"/>
  <c r="W29" i="2"/>
  <c r="W30" i="2" s="1"/>
  <c r="W31" i="2" s="1"/>
  <c r="X28" i="2"/>
  <c r="X27" i="2"/>
  <c r="V26" i="2"/>
  <c r="X26" i="2" s="1"/>
  <c r="V25" i="2"/>
  <c r="X25" i="2" s="1"/>
  <c r="V24" i="2"/>
  <c r="X23" i="2"/>
  <c r="X22" i="2"/>
  <c r="W21" i="2"/>
  <c r="W20" i="2"/>
  <c r="V20" i="2"/>
  <c r="V21" i="2" s="1"/>
  <c r="X19" i="2"/>
  <c r="X18" i="2"/>
  <c r="X17" i="2"/>
  <c r="X16" i="2"/>
  <c r="T123" i="2" l="1"/>
  <c r="T164" i="2"/>
  <c r="T30" i="2"/>
  <c r="T31" i="2" s="1"/>
  <c r="S173" i="2"/>
  <c r="S174" i="2" s="1"/>
  <c r="S175" i="2" s="1"/>
  <c r="T109" i="2"/>
  <c r="T116" i="2" s="1"/>
  <c r="R173" i="2"/>
  <c r="R174" i="2" s="1"/>
  <c r="R59" i="2"/>
  <c r="S80" i="2"/>
  <c r="S146" i="2" s="1"/>
  <c r="T131" i="2"/>
  <c r="R30" i="2"/>
  <c r="R31" i="2" s="1"/>
  <c r="R41" i="2"/>
  <c r="T41" i="2" s="1"/>
  <c r="T57" i="2"/>
  <c r="T58" i="2" s="1"/>
  <c r="T59" i="2" s="1"/>
  <c r="T80" i="2" s="1"/>
  <c r="R76" i="2"/>
  <c r="T99" i="2"/>
  <c r="T118" i="2"/>
  <c r="W57" i="2"/>
  <c r="X57" i="2" s="1"/>
  <c r="V76" i="2"/>
  <c r="V82" i="2"/>
  <c r="V83" i="2" s="1"/>
  <c r="X123" i="2"/>
  <c r="W140" i="2"/>
  <c r="T137" i="2"/>
  <c r="T143" i="2" s="1"/>
  <c r="R66" i="2"/>
  <c r="R79" i="2" s="1"/>
  <c r="R80" i="2" s="1"/>
  <c r="R101" i="2"/>
  <c r="V30" i="2"/>
  <c r="V31" i="2" s="1"/>
  <c r="A34" i="2"/>
  <c r="A50" i="2" s="1"/>
  <c r="V59" i="2"/>
  <c r="T165" i="2"/>
  <c r="T172" i="2" s="1"/>
  <c r="T173" i="2" s="1"/>
  <c r="T174" i="2" s="1"/>
  <c r="V49" i="2"/>
  <c r="X173" i="2"/>
  <c r="X174" i="2" s="1"/>
  <c r="X49" i="2"/>
  <c r="X131" i="2"/>
  <c r="X116" i="2"/>
  <c r="X66" i="2"/>
  <c r="X79" i="2" s="1"/>
  <c r="V145" i="2"/>
  <c r="X115" i="2"/>
  <c r="V66" i="2"/>
  <c r="X51" i="2"/>
  <c r="V123" i="2"/>
  <c r="V144" i="2" s="1"/>
  <c r="X24" i="2"/>
  <c r="X30" i="2" s="1"/>
  <c r="X31" i="2" s="1"/>
  <c r="W49" i="2"/>
  <c r="X92" i="2"/>
  <c r="X101" i="2" s="1"/>
  <c r="X102" i="2" s="1"/>
  <c r="X20" i="2"/>
  <c r="X21" i="2" s="1"/>
  <c r="X67" i="2"/>
  <c r="X76" i="2" s="1"/>
  <c r="W58" i="2" l="1"/>
  <c r="W59" i="2" s="1"/>
  <c r="W80" i="2" s="1"/>
  <c r="W146" i="2" s="1"/>
  <c r="W175" i="2" s="1"/>
  <c r="V79" i="2"/>
  <c r="V80" i="2" s="1"/>
  <c r="V146" i="2" s="1"/>
  <c r="V175" i="2" s="1"/>
  <c r="W143" i="2"/>
  <c r="W144" i="2" s="1"/>
  <c r="W145" i="2" s="1"/>
  <c r="X140" i="2"/>
  <c r="X143" i="2" s="1"/>
  <c r="X144" i="2" s="1"/>
  <c r="X145" i="2"/>
  <c r="R102" i="2"/>
  <c r="R145" i="2" s="1"/>
  <c r="R146" i="2" s="1"/>
  <c r="R175" i="2" s="1"/>
  <c r="T175" i="2" s="1"/>
  <c r="T101" i="2"/>
  <c r="T102" i="2" s="1"/>
  <c r="T144" i="2"/>
  <c r="X58" i="2"/>
  <c r="X59" i="2" s="1"/>
  <c r="X80" i="2" s="1"/>
  <c r="X146" i="2" s="1"/>
  <c r="X175" i="2" s="1"/>
  <c r="T145" i="2" l="1"/>
  <c r="T146" i="2" s="1"/>
  <c r="R92" i="5" l="1"/>
  <c r="R91" i="5"/>
  <c r="T90" i="5"/>
  <c r="T91" i="5" s="1"/>
  <c r="T92" i="5" s="1"/>
  <c r="R88" i="5"/>
  <c r="T86" i="5"/>
  <c r="T88" i="5" s="1"/>
  <c r="R85" i="5"/>
  <c r="T84" i="5"/>
  <c r="T83" i="5"/>
  <c r="T85" i="5" s="1"/>
  <c r="T82" i="5"/>
  <c r="R79" i="5"/>
  <c r="T78" i="5"/>
  <c r="T79" i="5" s="1"/>
  <c r="R76" i="5"/>
  <c r="T76" i="5" s="1"/>
  <c r="R75" i="5"/>
  <c r="T75" i="5" s="1"/>
  <c r="R74" i="5"/>
  <c r="T74" i="5" s="1"/>
  <c r="R73" i="5"/>
  <c r="T73" i="5" s="1"/>
  <c r="T77" i="5" s="1"/>
  <c r="R72" i="5"/>
  <c r="T72" i="5" s="1"/>
  <c r="T70" i="5"/>
  <c r="T68" i="5"/>
  <c r="R66" i="5"/>
  <c r="R65" i="5"/>
  <c r="T65" i="5" s="1"/>
  <c r="T64" i="5"/>
  <c r="T63" i="5"/>
  <c r="T66" i="5" s="1"/>
  <c r="T60" i="5"/>
  <c r="R59" i="5"/>
  <c r="T58" i="5"/>
  <c r="R58" i="5"/>
  <c r="R57" i="5"/>
  <c r="T57" i="5" s="1"/>
  <c r="T56" i="5"/>
  <c r="T54" i="5"/>
  <c r="R53" i="5"/>
  <c r="S53" i="5" s="1"/>
  <c r="R52" i="5"/>
  <c r="T52" i="5" s="1"/>
  <c r="R51" i="5"/>
  <c r="T51" i="5" s="1"/>
  <c r="T49" i="5"/>
  <c r="T48" i="5"/>
  <c r="T46" i="5"/>
  <c r="T41" i="5"/>
  <c r="R39" i="5"/>
  <c r="R40" i="5" s="1"/>
  <c r="T38" i="5"/>
  <c r="T37" i="5"/>
  <c r="T36" i="5"/>
  <c r="T35" i="5"/>
  <c r="R33" i="5"/>
  <c r="R32" i="5"/>
  <c r="T32" i="5" s="1"/>
  <c r="T30" i="5"/>
  <c r="T29" i="5"/>
  <c r="R29" i="5"/>
  <c r="T27" i="5"/>
  <c r="R26" i="5"/>
  <c r="R34" i="5" s="1"/>
  <c r="T25" i="5"/>
  <c r="T22" i="5"/>
  <c r="T20" i="5"/>
  <c r="T19" i="5"/>
  <c r="T18" i="5"/>
  <c r="T17" i="5"/>
  <c r="T16" i="5"/>
  <c r="T14" i="5"/>
  <c r="T26" i="5" s="1"/>
  <c r="W13" i="5"/>
  <c r="V13" i="5"/>
  <c r="T13" i="5"/>
  <c r="S13" i="5"/>
  <c r="R13" i="5"/>
  <c r="T10" i="5"/>
  <c r="T9" i="5"/>
  <c r="AB174" i="2"/>
  <c r="AC173" i="2"/>
  <c r="AC174" i="2" s="1"/>
  <c r="AD172" i="2"/>
  <c r="AD164" i="2"/>
  <c r="AC143" i="2"/>
  <c r="AC144" i="2" s="1"/>
  <c r="AB144" i="2"/>
  <c r="AD142" i="2"/>
  <c r="AD141" i="2"/>
  <c r="AD140" i="2"/>
  <c r="AD139" i="2"/>
  <c r="AD138" i="2"/>
  <c r="AD137" i="2"/>
  <c r="AD136" i="2"/>
  <c r="AD135" i="2"/>
  <c r="AD133" i="2"/>
  <c r="AD131" i="2"/>
  <c r="AD123" i="2"/>
  <c r="AC115" i="2"/>
  <c r="AC116" i="2" s="1"/>
  <c r="AB115" i="2"/>
  <c r="AD114" i="2"/>
  <c r="AD113" i="2"/>
  <c r="AD112" i="2"/>
  <c r="AD111" i="2"/>
  <c r="AB109" i="2"/>
  <c r="AB116" i="2" s="1"/>
  <c r="AD108" i="2"/>
  <c r="AD107" i="2"/>
  <c r="AD106" i="2"/>
  <c r="AD105" i="2"/>
  <c r="AD104" i="2"/>
  <c r="AC102" i="2"/>
  <c r="AB101" i="2"/>
  <c r="AB102" i="2" s="1"/>
  <c r="AD100" i="2"/>
  <c r="AD99" i="2"/>
  <c r="AD98" i="2"/>
  <c r="AD96" i="2"/>
  <c r="AD95" i="2"/>
  <c r="AD94" i="2"/>
  <c r="AD93" i="2"/>
  <c r="AD92" i="2"/>
  <c r="AD83" i="2"/>
  <c r="AC83" i="2"/>
  <c r="AB83" i="2"/>
  <c r="AD82" i="2"/>
  <c r="AC79" i="2"/>
  <c r="AB79" i="2"/>
  <c r="AD78" i="2"/>
  <c r="AC78" i="2"/>
  <c r="AB78" i="2"/>
  <c r="AD77" i="2"/>
  <c r="AD76" i="2"/>
  <c r="AD66" i="2"/>
  <c r="AC58" i="2"/>
  <c r="AC59" i="2" s="1"/>
  <c r="AB58" i="2"/>
  <c r="AB59" i="2" s="1"/>
  <c r="AB80" i="2" s="1"/>
  <c r="AB49" i="2"/>
  <c r="AD49" i="2" s="1"/>
  <c r="AD41" i="2"/>
  <c r="AC31" i="2"/>
  <c r="AD31" i="2" s="1"/>
  <c r="AB31" i="2"/>
  <c r="AD30" i="2"/>
  <c r="AC21" i="2"/>
  <c r="AD20" i="2"/>
  <c r="T40" i="5" l="1"/>
  <c r="T33" i="5"/>
  <c r="T34" i="5" s="1"/>
  <c r="T53" i="5"/>
  <c r="T59" i="5"/>
  <c r="T39" i="5"/>
  <c r="R77" i="5"/>
  <c r="R89" i="5" s="1"/>
  <c r="R93" i="5" s="1"/>
  <c r="AD58" i="2"/>
  <c r="AD59" i="2" s="1"/>
  <c r="AD144" i="2"/>
  <c r="AC80" i="2"/>
  <c r="AD80" i="2" s="1"/>
  <c r="AD143" i="2"/>
  <c r="AD79" i="2"/>
  <c r="AD115" i="2"/>
  <c r="AD173" i="2"/>
  <c r="AD174" i="2" s="1"/>
  <c r="AB145" i="2"/>
  <c r="AB175" i="2" s="1"/>
  <c r="AC145" i="2"/>
  <c r="AD101" i="2"/>
  <c r="AD102" i="2" s="1"/>
  <c r="AD21" i="2"/>
  <c r="AD109" i="2"/>
  <c r="AD116" i="2" s="1"/>
  <c r="N45" i="5"/>
  <c r="AD145" i="2" l="1"/>
  <c r="AD175" i="2" s="1"/>
  <c r="T89" i="5"/>
  <c r="AC175" i="2"/>
  <c r="N47" i="5"/>
  <c r="P47" i="5"/>
  <c r="N28" i="5" l="1"/>
  <c r="N31" i="5"/>
  <c r="P31" i="5" s="1"/>
  <c r="P11" i="5" l="1"/>
  <c r="N11" i="5"/>
  <c r="P46" i="5"/>
  <c r="P45" i="5"/>
  <c r="P82" i="5"/>
  <c r="N81" i="5"/>
  <c r="N80" i="5"/>
  <c r="N29" i="5"/>
  <c r="P12" i="5"/>
  <c r="N13" i="5"/>
  <c r="N43" i="5"/>
  <c r="N50" i="5"/>
  <c r="N42" i="5"/>
  <c r="N14" i="5"/>
  <c r="P15" i="5"/>
  <c r="P28" i="5"/>
  <c r="N23" i="5"/>
  <c r="P23" i="5" s="1"/>
  <c r="N61" i="5"/>
  <c r="N71" i="5"/>
  <c r="P71" i="5" s="1"/>
  <c r="N69" i="5"/>
  <c r="P22" i="5"/>
  <c r="P69" i="5"/>
  <c r="P49" i="5"/>
  <c r="P50" i="5"/>
  <c r="O72" i="5"/>
  <c r="N72" i="5"/>
  <c r="P42" i="5"/>
  <c r="N44" i="5"/>
  <c r="P70" i="5"/>
  <c r="N87" i="5"/>
  <c r="N55" i="5"/>
  <c r="N10" i="31"/>
  <c r="G10" i="31"/>
  <c r="H10" i="31"/>
  <c r="I10" i="31"/>
  <c r="J10" i="31"/>
  <c r="K10" i="31"/>
  <c r="L10" i="31"/>
  <c r="M10" i="31"/>
  <c r="F10" i="31"/>
  <c r="A26" i="27"/>
  <c r="Y107" i="19"/>
  <c r="O73" i="27"/>
  <c r="Q73" i="27"/>
  <c r="I73" i="27"/>
  <c r="J73" i="27" s="1"/>
  <c r="A73" i="27"/>
  <c r="B73" i="27"/>
  <c r="B93" i="27"/>
  <c r="N24" i="5"/>
  <c r="W111" i="15"/>
  <c r="Y97" i="19"/>
  <c r="C7" i="16"/>
  <c r="H14" i="16"/>
  <c r="I11" i="16"/>
  <c r="D14" i="30"/>
  <c r="D15" i="30"/>
  <c r="B15" i="30"/>
  <c r="K14" i="30"/>
  <c r="K15" i="30"/>
  <c r="K16" i="30"/>
  <c r="K17" i="30"/>
  <c r="I13" i="30"/>
  <c r="J13" i="30"/>
  <c r="K13" i="30"/>
  <c r="B4" i="30"/>
  <c r="C4" i="30"/>
  <c r="D4" i="30"/>
  <c r="B5" i="30"/>
  <c r="D5" i="30"/>
  <c r="B6" i="30"/>
  <c r="D6" i="30"/>
  <c r="B9" i="30"/>
  <c r="D9" i="30"/>
  <c r="B10" i="30"/>
  <c r="D10" i="30"/>
  <c r="B11" i="30"/>
  <c r="D11" i="30"/>
  <c r="J22" i="30"/>
  <c r="I22" i="30"/>
  <c r="I21" i="30"/>
  <c r="J21" i="30"/>
  <c r="K21" i="30"/>
  <c r="I20" i="30"/>
  <c r="J20" i="30"/>
  <c r="K20" i="30"/>
  <c r="I19" i="30"/>
  <c r="K19" i="30"/>
  <c r="I18" i="30"/>
  <c r="K18" i="30"/>
  <c r="I16" i="30"/>
  <c r="J16" i="30"/>
  <c r="D7" i="30"/>
  <c r="D8" i="30"/>
  <c r="K22" i="30"/>
  <c r="E26" i="27"/>
  <c r="O26" i="27"/>
  <c r="Q26" i="27"/>
  <c r="B26" i="27"/>
  <c r="E6" i="27"/>
  <c r="O6" i="27"/>
  <c r="Q6" i="27"/>
  <c r="B6" i="27"/>
  <c r="A6" i="27"/>
  <c r="N60" i="5"/>
  <c r="P61" i="5"/>
  <c r="J26" i="27" s="1"/>
  <c r="P10" i="5"/>
  <c r="S34" i="27"/>
  <c r="A70" i="27"/>
  <c r="O123" i="27"/>
  <c r="Q123" i="27"/>
  <c r="O124" i="27"/>
  <c r="Q124" i="27"/>
  <c r="O122" i="27"/>
  <c r="Q122" i="27"/>
  <c r="Q121" i="27"/>
  <c r="O121" i="27"/>
  <c r="O120" i="27"/>
  <c r="Q120" i="27"/>
  <c r="O117" i="27"/>
  <c r="Q117" i="27"/>
  <c r="O118" i="27"/>
  <c r="Q118" i="27"/>
  <c r="O119" i="27"/>
  <c r="Q119" i="27"/>
  <c r="O112" i="27"/>
  <c r="Q112" i="27"/>
  <c r="O113" i="27"/>
  <c r="Q113" i="27"/>
  <c r="O114" i="27"/>
  <c r="Q114" i="27"/>
  <c r="O115" i="27"/>
  <c r="Q115" i="27"/>
  <c r="O116" i="27"/>
  <c r="Q116" i="27"/>
  <c r="Q111" i="27"/>
  <c r="O111" i="27"/>
  <c r="O110" i="27"/>
  <c r="Q110" i="27"/>
  <c r="O107" i="27"/>
  <c r="Q107" i="27"/>
  <c r="O108" i="27"/>
  <c r="Q108" i="27"/>
  <c r="O109" i="27"/>
  <c r="Q109" i="27"/>
  <c r="Q106" i="27"/>
  <c r="O106" i="27"/>
  <c r="Q105" i="27"/>
  <c r="O105" i="27"/>
  <c r="O104" i="27"/>
  <c r="Q104" i="27"/>
  <c r="O103" i="27"/>
  <c r="Q103" i="27"/>
  <c r="Q102" i="27"/>
  <c r="O102" i="27"/>
  <c r="Q101" i="27"/>
  <c r="O101" i="27"/>
  <c r="O100" i="27"/>
  <c r="Q100" i="27"/>
  <c r="O99" i="27"/>
  <c r="Q99" i="27"/>
  <c r="O98" i="27"/>
  <c r="Q98" i="27"/>
  <c r="O97" i="27"/>
  <c r="Q97" i="27"/>
  <c r="O96" i="27"/>
  <c r="Q96" i="27"/>
  <c r="Q95" i="27"/>
  <c r="O95" i="27"/>
  <c r="O93" i="27"/>
  <c r="Q93" i="27"/>
  <c r="O94" i="27"/>
  <c r="Q94" i="27"/>
  <c r="O92" i="27"/>
  <c r="Q92" i="27"/>
  <c r="O89" i="27"/>
  <c r="Q89" i="27"/>
  <c r="O90" i="27"/>
  <c r="Q90" i="27"/>
  <c r="O91" i="27"/>
  <c r="Q91" i="27"/>
  <c r="O87" i="27"/>
  <c r="Q87" i="27"/>
  <c r="O88" i="27"/>
  <c r="Q88" i="27"/>
  <c r="O86" i="27"/>
  <c r="Q86" i="27"/>
  <c r="O83" i="27"/>
  <c r="Q83" i="27"/>
  <c r="O84" i="27"/>
  <c r="Q84" i="27"/>
  <c r="O85" i="27"/>
  <c r="Q85" i="27"/>
  <c r="O81" i="27"/>
  <c r="Q81" i="27"/>
  <c r="O82" i="27"/>
  <c r="Q82" i="27"/>
  <c r="Q80" i="27"/>
  <c r="O80" i="27"/>
  <c r="Q79" i="27"/>
  <c r="O79" i="27"/>
  <c r="O77" i="27"/>
  <c r="Q77" i="27"/>
  <c r="O78" i="27"/>
  <c r="Q78" i="27"/>
  <c r="O76" i="27"/>
  <c r="Q76" i="27"/>
  <c r="O75" i="27"/>
  <c r="Q75" i="27"/>
  <c r="Q74" i="27"/>
  <c r="O74" i="27"/>
  <c r="O69" i="27"/>
  <c r="Q69" i="27"/>
  <c r="O70" i="27"/>
  <c r="Q70" i="27"/>
  <c r="O71" i="27"/>
  <c r="Q71" i="27"/>
  <c r="O72" i="27"/>
  <c r="Q72" i="27"/>
  <c r="Q68" i="27"/>
  <c r="O68" i="27"/>
  <c r="O64" i="27"/>
  <c r="Q64" i="27"/>
  <c r="O65" i="27"/>
  <c r="Q65" i="27"/>
  <c r="O66" i="27"/>
  <c r="Q66" i="27"/>
  <c r="O67" i="27"/>
  <c r="Q67" i="27"/>
  <c r="O63" i="27"/>
  <c r="Q63" i="27"/>
  <c r="O62" i="27"/>
  <c r="Q62" i="27"/>
  <c r="Q61" i="27"/>
  <c r="O61" i="27"/>
  <c r="O59" i="27"/>
  <c r="Q59" i="27"/>
  <c r="O60" i="27"/>
  <c r="Q60" i="27"/>
  <c r="O57" i="27"/>
  <c r="Q57" i="27"/>
  <c r="O58" i="27"/>
  <c r="Q58" i="27"/>
  <c r="O55" i="27"/>
  <c r="Q55" i="27"/>
  <c r="O56" i="27"/>
  <c r="Q56" i="27"/>
  <c r="Q54" i="27"/>
  <c r="O54" i="27"/>
  <c r="O52" i="27"/>
  <c r="Q52" i="27"/>
  <c r="O53" i="27"/>
  <c r="Q53" i="27"/>
  <c r="O50" i="27"/>
  <c r="Q50" i="27"/>
  <c r="O51" i="27"/>
  <c r="Q51" i="27"/>
  <c r="O48" i="27"/>
  <c r="Q48" i="27"/>
  <c r="O49" i="27"/>
  <c r="Q49" i="27"/>
  <c r="Q47" i="27"/>
  <c r="O47" i="27"/>
  <c r="O40" i="27"/>
  <c r="Q40" i="27"/>
  <c r="O41" i="27"/>
  <c r="Q41" i="27"/>
  <c r="O42" i="27"/>
  <c r="Q42" i="27"/>
  <c r="O43" i="27"/>
  <c r="Q43" i="27"/>
  <c r="O44" i="27"/>
  <c r="Q44" i="27"/>
  <c r="O45" i="27"/>
  <c r="Q45" i="27"/>
  <c r="O46" i="27"/>
  <c r="Q46" i="27"/>
  <c r="Q39" i="27"/>
  <c r="O39" i="27"/>
  <c r="O36" i="27"/>
  <c r="Q36" i="27"/>
  <c r="O37" i="27"/>
  <c r="Q37" i="27"/>
  <c r="O38" i="27"/>
  <c r="Q38" i="27"/>
  <c r="Q35" i="27"/>
  <c r="O35" i="27"/>
  <c r="Q34" i="27"/>
  <c r="O34" i="27"/>
  <c r="Q33" i="27"/>
  <c r="O33" i="27"/>
  <c r="Q32" i="27"/>
  <c r="O32" i="27"/>
  <c r="Q31" i="27"/>
  <c r="O31" i="27"/>
  <c r="Q30" i="27"/>
  <c r="O30" i="27"/>
  <c r="Q29" i="27"/>
  <c r="O29" i="27"/>
  <c r="Q28" i="27"/>
  <c r="O28" i="27"/>
  <c r="Q27" i="27"/>
  <c r="O27" i="27"/>
  <c r="Q25" i="27"/>
  <c r="O25" i="27"/>
  <c r="Q24" i="27"/>
  <c r="O24" i="27"/>
  <c r="Q23" i="27"/>
  <c r="O23" i="27"/>
  <c r="Q22" i="27"/>
  <c r="O22" i="27"/>
  <c r="Q21" i="27"/>
  <c r="O21" i="27"/>
  <c r="O18" i="27"/>
  <c r="Q18" i="27"/>
  <c r="O19" i="27"/>
  <c r="Q19" i="27"/>
  <c r="O20" i="27"/>
  <c r="Q20" i="27"/>
  <c r="Q17" i="27"/>
  <c r="O17" i="27"/>
  <c r="Q16" i="27"/>
  <c r="O16" i="27"/>
  <c r="Q15" i="27"/>
  <c r="O15" i="27"/>
  <c r="Q8" i="27"/>
  <c r="Q9" i="27"/>
  <c r="Q10" i="27"/>
  <c r="Q11" i="27"/>
  <c r="Q12" i="27"/>
  <c r="Q13" i="27"/>
  <c r="Q14" i="27"/>
  <c r="O8" i="27"/>
  <c r="O9" i="27"/>
  <c r="O10" i="27"/>
  <c r="O11" i="27"/>
  <c r="O12" i="27"/>
  <c r="O13" i="27"/>
  <c r="O14" i="27"/>
  <c r="Q7" i="27"/>
  <c r="O7" i="27"/>
  <c r="Q5" i="27"/>
  <c r="O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12" i="27"/>
  <c r="E113" i="27"/>
  <c r="E114" i="27"/>
  <c r="E115" i="27"/>
  <c r="E116" i="27"/>
  <c r="E118" i="27"/>
  <c r="E119" i="27"/>
  <c r="E120" i="27"/>
  <c r="E121" i="27"/>
  <c r="E122" i="27"/>
  <c r="E123" i="27"/>
  <c r="E124" i="27"/>
  <c r="E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4" i="27"/>
  <c r="B75" i="27"/>
  <c r="B76" i="27"/>
  <c r="B77" i="27"/>
  <c r="B78" i="27"/>
  <c r="B79" i="27"/>
  <c r="B80" i="27"/>
  <c r="B81" i="27"/>
  <c r="B82" i="27"/>
  <c r="B83" i="27"/>
  <c r="B84" i="27"/>
  <c r="B85" i="27"/>
  <c r="B86" i="27"/>
  <c r="B87" i="27"/>
  <c r="B88" i="27"/>
  <c r="B89" i="27"/>
  <c r="B90" i="27"/>
  <c r="B91" i="27"/>
  <c r="B92" i="27"/>
  <c r="B94" i="27"/>
  <c r="B95" i="27"/>
  <c r="B96" i="27"/>
  <c r="B97" i="27"/>
  <c r="B98" i="27"/>
  <c r="B99" i="27"/>
  <c r="B100" i="27"/>
  <c r="B101" i="27"/>
  <c r="B102" i="27"/>
  <c r="B103" i="27"/>
  <c r="B104" i="27"/>
  <c r="B105" i="27"/>
  <c r="B106" i="27"/>
  <c r="B107" i="27"/>
  <c r="B108" i="27"/>
  <c r="B109" i="27"/>
  <c r="B110" i="27"/>
  <c r="B111" i="27"/>
  <c r="B112" i="27"/>
  <c r="B113" i="27"/>
  <c r="B114" i="27"/>
  <c r="B115" i="27"/>
  <c r="B116" i="27"/>
  <c r="B117" i="27"/>
  <c r="B118" i="27"/>
  <c r="B119" i="27"/>
  <c r="B120" i="27"/>
  <c r="B121" i="27"/>
  <c r="B122" i="27"/>
  <c r="B123" i="27"/>
  <c r="B124" i="27"/>
  <c r="B35" i="27"/>
  <c r="A36" i="27"/>
  <c r="A37" i="27"/>
  <c r="A38" i="27"/>
  <c r="A39" i="27"/>
  <c r="A40" i="27"/>
  <c r="A41" i="27"/>
  <c r="A42" i="27"/>
  <c r="A43" i="27"/>
  <c r="A44" i="27"/>
  <c r="A45" i="27"/>
  <c r="A46" i="27"/>
  <c r="A47" i="27"/>
  <c r="A48" i="27"/>
  <c r="A49" i="27"/>
  <c r="A50" i="27"/>
  <c r="A51" i="27"/>
  <c r="A52" i="27"/>
  <c r="A53" i="27"/>
  <c r="A54" i="27"/>
  <c r="A55" i="27"/>
  <c r="A56" i="27"/>
  <c r="A57" i="27"/>
  <c r="A58" i="27"/>
  <c r="A59" i="27"/>
  <c r="A60" i="27"/>
  <c r="A61" i="27"/>
  <c r="A62" i="27"/>
  <c r="A63" i="27"/>
  <c r="A64" i="27"/>
  <c r="A65" i="27"/>
  <c r="A66" i="27"/>
  <c r="A67" i="27"/>
  <c r="A68" i="27"/>
  <c r="A69" i="27"/>
  <c r="A71" i="27"/>
  <c r="A72"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7" i="27"/>
  <c r="A108" i="27"/>
  <c r="A109" i="27"/>
  <c r="A110" i="27"/>
  <c r="A111" i="27"/>
  <c r="A112" i="27"/>
  <c r="A113" i="27"/>
  <c r="A114" i="27"/>
  <c r="A115" i="27"/>
  <c r="A116" i="27"/>
  <c r="A117" i="27"/>
  <c r="A118" i="27"/>
  <c r="A119" i="27"/>
  <c r="A120" i="27"/>
  <c r="A121" i="27"/>
  <c r="A122" i="27"/>
  <c r="A123" i="27"/>
  <c r="A124" i="27"/>
  <c r="A35" i="27"/>
  <c r="J23" i="27"/>
  <c r="J28" i="27"/>
  <c r="I23" i="27"/>
  <c r="I28" i="27"/>
  <c r="E7" i="27"/>
  <c r="E8" i="27"/>
  <c r="E9" i="27"/>
  <c r="E10" i="27"/>
  <c r="E11" i="27"/>
  <c r="E12" i="27"/>
  <c r="E13" i="27"/>
  <c r="E14" i="27"/>
  <c r="E15" i="27"/>
  <c r="E16" i="27"/>
  <c r="E17" i="27"/>
  <c r="E18" i="27"/>
  <c r="E19" i="27"/>
  <c r="E20" i="27"/>
  <c r="E21" i="27"/>
  <c r="E22" i="27"/>
  <c r="E23" i="27"/>
  <c r="E24" i="27"/>
  <c r="E25" i="27"/>
  <c r="E27" i="27"/>
  <c r="E28" i="27"/>
  <c r="E29" i="27"/>
  <c r="E30" i="27"/>
  <c r="E31" i="27"/>
  <c r="E32" i="27"/>
  <c r="E33" i="27"/>
  <c r="E34" i="27"/>
  <c r="E5" i="27"/>
  <c r="B7" i="27"/>
  <c r="B8" i="27"/>
  <c r="B9" i="27"/>
  <c r="B10" i="27"/>
  <c r="B11" i="27"/>
  <c r="B12" i="27"/>
  <c r="B13" i="27"/>
  <c r="B14" i="27"/>
  <c r="B15" i="27"/>
  <c r="B16" i="27"/>
  <c r="B17" i="27"/>
  <c r="B18" i="27"/>
  <c r="B19" i="27"/>
  <c r="B20" i="27"/>
  <c r="B21" i="27"/>
  <c r="B22" i="27"/>
  <c r="B23" i="27"/>
  <c r="B24" i="27"/>
  <c r="B25" i="27"/>
  <c r="B27" i="27"/>
  <c r="B28" i="27"/>
  <c r="B29" i="27"/>
  <c r="B30" i="27"/>
  <c r="B31" i="27"/>
  <c r="B32" i="27"/>
  <c r="B33" i="27"/>
  <c r="B34" i="27"/>
  <c r="B5" i="27"/>
  <c r="A7" i="27"/>
  <c r="A8" i="27"/>
  <c r="A9" i="27"/>
  <c r="A10" i="27"/>
  <c r="A11" i="27"/>
  <c r="A12" i="27"/>
  <c r="A13" i="27"/>
  <c r="A14" i="27"/>
  <c r="A15" i="27"/>
  <c r="A16" i="27"/>
  <c r="A17" i="27"/>
  <c r="A18" i="27"/>
  <c r="A19" i="27"/>
  <c r="A20" i="27"/>
  <c r="A21" i="27"/>
  <c r="A22" i="27"/>
  <c r="A23" i="27"/>
  <c r="A24" i="27"/>
  <c r="A25" i="27"/>
  <c r="A27" i="27"/>
  <c r="A28" i="27"/>
  <c r="A29" i="27"/>
  <c r="A30" i="27"/>
  <c r="A31" i="27"/>
  <c r="A32" i="27"/>
  <c r="A33" i="27"/>
  <c r="A34" i="27"/>
  <c r="A5" i="27"/>
  <c r="U175" i="2"/>
  <c r="P87" i="5"/>
  <c r="U50" i="20"/>
  <c r="P25" i="5"/>
  <c r="J16" i="19"/>
  <c r="K16" i="19"/>
  <c r="L16" i="19"/>
  <c r="N16" i="19"/>
  <c r="P16" i="19"/>
  <c r="Q16" i="19"/>
  <c r="R16" i="19"/>
  <c r="T16" i="19"/>
  <c r="V16" i="19"/>
  <c r="J17" i="19"/>
  <c r="K17" i="19"/>
  <c r="L17" i="19"/>
  <c r="N17" i="19"/>
  <c r="P17" i="19"/>
  <c r="Q17" i="19"/>
  <c r="R17" i="19"/>
  <c r="T17" i="19"/>
  <c r="V17" i="19"/>
  <c r="J18" i="19"/>
  <c r="K18" i="19"/>
  <c r="L18" i="19"/>
  <c r="N18" i="19"/>
  <c r="P18" i="19"/>
  <c r="Q18" i="19"/>
  <c r="R18" i="19"/>
  <c r="T18" i="19"/>
  <c r="V18" i="19"/>
  <c r="J19" i="19"/>
  <c r="K19" i="19"/>
  <c r="L19" i="19"/>
  <c r="N19" i="19"/>
  <c r="P19" i="19"/>
  <c r="Q19" i="19"/>
  <c r="R19" i="19"/>
  <c r="T19" i="19"/>
  <c r="V19" i="19"/>
  <c r="J20" i="19"/>
  <c r="K20" i="19"/>
  <c r="L20" i="19"/>
  <c r="N20" i="19"/>
  <c r="P20" i="19"/>
  <c r="Q20" i="19"/>
  <c r="R20" i="19"/>
  <c r="T20" i="19"/>
  <c r="V20" i="19"/>
  <c r="J21" i="19"/>
  <c r="K21" i="19"/>
  <c r="L21" i="19"/>
  <c r="N21" i="19"/>
  <c r="P21" i="19"/>
  <c r="Q21" i="19"/>
  <c r="R21" i="19"/>
  <c r="T21" i="19"/>
  <c r="V21" i="19"/>
  <c r="J22" i="19"/>
  <c r="K22" i="19"/>
  <c r="L22" i="19"/>
  <c r="N22" i="19"/>
  <c r="P22" i="19"/>
  <c r="Q22" i="19"/>
  <c r="R22" i="19"/>
  <c r="T22" i="19"/>
  <c r="V22" i="19"/>
  <c r="I16" i="19"/>
  <c r="I17" i="19"/>
  <c r="I18" i="19"/>
  <c r="I19" i="19"/>
  <c r="I20" i="19"/>
  <c r="I21" i="19"/>
  <c r="I22" i="19"/>
  <c r="G16" i="19"/>
  <c r="G17" i="19"/>
  <c r="G18" i="19"/>
  <c r="G19" i="19"/>
  <c r="G20" i="19"/>
  <c r="G21" i="19"/>
  <c r="G22" i="19"/>
  <c r="J9" i="19"/>
  <c r="K9" i="19"/>
  <c r="L9" i="19"/>
  <c r="N9" i="19"/>
  <c r="P9" i="19"/>
  <c r="Q9" i="19"/>
  <c r="R9" i="19"/>
  <c r="S9" i="19"/>
  <c r="T9" i="19"/>
  <c r="V9" i="19"/>
  <c r="W9" i="19"/>
  <c r="I9" i="19"/>
  <c r="G9" i="19"/>
  <c r="G8" i="19"/>
  <c r="I40" i="27"/>
  <c r="J40" i="27"/>
  <c r="U21" i="19"/>
  <c r="S21" i="19"/>
  <c r="J53" i="27"/>
  <c r="S17" i="19"/>
  <c r="S18" i="19"/>
  <c r="S19" i="19"/>
  <c r="U20" i="19"/>
  <c r="S22" i="19"/>
  <c r="J49" i="27"/>
  <c r="S20" i="19"/>
  <c r="S16" i="19"/>
  <c r="U19" i="19"/>
  <c r="J48" i="27"/>
  <c r="C111" i="26"/>
  <c r="D111" i="26"/>
  <c r="E111" i="26"/>
  <c r="E97" i="26"/>
  <c r="D97" i="26"/>
  <c r="F84" i="26"/>
  <c r="B84" i="26"/>
  <c r="B97" i="26"/>
  <c r="C84" i="26"/>
  <c r="C97" i="26"/>
  <c r="D84" i="26"/>
  <c r="E84" i="26"/>
  <c r="E39" i="26"/>
  <c r="D39" i="26"/>
  <c r="C29" i="26"/>
  <c r="C39" i="26"/>
  <c r="C49" i="26"/>
  <c r="B29" i="26"/>
  <c r="B39" i="26"/>
  <c r="B49" i="26"/>
  <c r="A13" i="26"/>
  <c r="A29" i="26"/>
  <c r="A39" i="26"/>
  <c r="N161" i="26"/>
  <c r="M160" i="26"/>
  <c r="O160" i="26"/>
  <c r="O159" i="26"/>
  <c r="M158" i="26"/>
  <c r="O158" i="26"/>
  <c r="O157" i="26"/>
  <c r="O156" i="26"/>
  <c r="O155" i="26"/>
  <c r="M154" i="26"/>
  <c r="O154" i="26"/>
  <c r="M153" i="26"/>
  <c r="O153" i="26"/>
  <c r="O152" i="26"/>
  <c r="M151" i="26"/>
  <c r="O151" i="26"/>
  <c r="E151" i="26"/>
  <c r="D151" i="26"/>
  <c r="C151" i="26"/>
  <c r="B151" i="26"/>
  <c r="N150" i="26"/>
  <c r="M149" i="26"/>
  <c r="O149" i="26"/>
  <c r="O148" i="26"/>
  <c r="O147" i="26"/>
  <c r="M146" i="26"/>
  <c r="O146" i="26"/>
  <c r="O145" i="26"/>
  <c r="O144" i="26"/>
  <c r="O143" i="26"/>
  <c r="O142" i="26"/>
  <c r="O141" i="26"/>
  <c r="M140" i="26"/>
  <c r="A140" i="26"/>
  <c r="A151" i="26"/>
  <c r="M130" i="26"/>
  <c r="O129" i="26"/>
  <c r="O128" i="26"/>
  <c r="N127" i="26"/>
  <c r="O127" i="26"/>
  <c r="O126" i="26"/>
  <c r="N125" i="26"/>
  <c r="O125" i="26"/>
  <c r="N124" i="26"/>
  <c r="O124" i="26"/>
  <c r="O123" i="26"/>
  <c r="N122" i="26"/>
  <c r="M122" i="26"/>
  <c r="O121" i="26"/>
  <c r="N120" i="26"/>
  <c r="M119" i="26"/>
  <c r="M120" i="26"/>
  <c r="N118" i="26"/>
  <c r="M117" i="26"/>
  <c r="O117" i="26"/>
  <c r="M116" i="26"/>
  <c r="O116" i="26"/>
  <c r="O115" i="26"/>
  <c r="M114" i="26"/>
  <c r="O114" i="26"/>
  <c r="M113" i="26"/>
  <c r="O112" i="26"/>
  <c r="O111" i="26"/>
  <c r="N110" i="26"/>
  <c r="O108" i="26"/>
  <c r="O107" i="26"/>
  <c r="O106" i="26"/>
  <c r="M105" i="26"/>
  <c r="O105" i="26"/>
  <c r="O104" i="26"/>
  <c r="B104" i="26"/>
  <c r="B111" i="26"/>
  <c r="N102" i="26"/>
  <c r="M102" i="26"/>
  <c r="O101" i="26"/>
  <c r="O100" i="26"/>
  <c r="O99" i="26"/>
  <c r="N98" i="26"/>
  <c r="M97" i="26"/>
  <c r="M98" i="26"/>
  <c r="M96" i="26"/>
  <c r="O95" i="26"/>
  <c r="N94" i="26"/>
  <c r="O94" i="26"/>
  <c r="N93" i="26"/>
  <c r="O92" i="26"/>
  <c r="O91" i="26"/>
  <c r="O90" i="26"/>
  <c r="C90" i="26"/>
  <c r="O87" i="26"/>
  <c r="N86" i="26"/>
  <c r="O86" i="26"/>
  <c r="N85" i="26"/>
  <c r="M85" i="26"/>
  <c r="O84" i="26"/>
  <c r="O83" i="26"/>
  <c r="O82" i="26"/>
  <c r="O81" i="26"/>
  <c r="O80" i="26"/>
  <c r="M79" i="26"/>
  <c r="O79" i="26"/>
  <c r="O78" i="26"/>
  <c r="O77" i="26"/>
  <c r="O76" i="26"/>
  <c r="O75" i="26"/>
  <c r="O74" i="26"/>
  <c r="O73" i="26"/>
  <c r="N71" i="26"/>
  <c r="N72" i="26"/>
  <c r="M71" i="26"/>
  <c r="M72" i="26"/>
  <c r="O70" i="26"/>
  <c r="O71" i="26"/>
  <c r="O72" i="26"/>
  <c r="A70" i="26"/>
  <c r="A104" i="26"/>
  <c r="A111" i="26"/>
  <c r="N67" i="26"/>
  <c r="M67" i="26"/>
  <c r="O66" i="26"/>
  <c r="O67" i="26"/>
  <c r="N65" i="26"/>
  <c r="M64" i="26"/>
  <c r="O64" i="26"/>
  <c r="O63" i="26"/>
  <c r="O62" i="26"/>
  <c r="O60" i="26"/>
  <c r="O59" i="26"/>
  <c r="M58" i="26"/>
  <c r="O58" i="26"/>
  <c r="O57" i="26"/>
  <c r="M56" i="26"/>
  <c r="O56" i="26"/>
  <c r="N55" i="26"/>
  <c r="O54" i="26"/>
  <c r="O53" i="26"/>
  <c r="O52" i="26"/>
  <c r="O51" i="26"/>
  <c r="M50" i="26"/>
  <c r="O50" i="26"/>
  <c r="M49" i="26"/>
  <c r="O49" i="26"/>
  <c r="M47" i="26"/>
  <c r="N46" i="26"/>
  <c r="O46" i="26"/>
  <c r="O45" i="26"/>
  <c r="O44" i="26"/>
  <c r="O43" i="26"/>
  <c r="O42" i="26"/>
  <c r="O41" i="26"/>
  <c r="O40" i="26"/>
  <c r="O39" i="26"/>
  <c r="N38" i="26"/>
  <c r="M38" i="26"/>
  <c r="O37" i="26"/>
  <c r="O36" i="26"/>
  <c r="O35" i="26"/>
  <c r="O34" i="26"/>
  <c r="O33" i="26"/>
  <c r="O32" i="26"/>
  <c r="O31" i="26"/>
  <c r="M29" i="26"/>
  <c r="O29" i="26"/>
  <c r="O30" i="26"/>
  <c r="N27" i="26"/>
  <c r="N28" i="26"/>
  <c r="M26" i="26"/>
  <c r="O26" i="26"/>
  <c r="O25" i="26"/>
  <c r="M24" i="26"/>
  <c r="O24" i="26"/>
  <c r="O23" i="26"/>
  <c r="M22" i="26"/>
  <c r="O22" i="26"/>
  <c r="M21" i="26"/>
  <c r="O20" i="26"/>
  <c r="O19" i="26"/>
  <c r="N17" i="26"/>
  <c r="N18" i="26"/>
  <c r="M16" i="26"/>
  <c r="O16" i="26"/>
  <c r="M15" i="26"/>
  <c r="O15" i="26"/>
  <c r="M14" i="26"/>
  <c r="O14" i="26"/>
  <c r="M13" i="26"/>
  <c r="O13" i="26"/>
  <c r="A84" i="26"/>
  <c r="A97" i="26"/>
  <c r="M30" i="26"/>
  <c r="M48" i="26"/>
  <c r="O55" i="26"/>
  <c r="N88" i="26"/>
  <c r="N89" i="26"/>
  <c r="O102" i="26"/>
  <c r="M118" i="26"/>
  <c r="N162" i="26"/>
  <c r="N163" i="26"/>
  <c r="M65" i="26"/>
  <c r="O85" i="26"/>
  <c r="O88" i="26"/>
  <c r="O89" i="26"/>
  <c r="N96" i="26"/>
  <c r="N103" i="26"/>
  <c r="M150" i="26"/>
  <c r="O113" i="26"/>
  <c r="O118" i="26"/>
  <c r="O38" i="26"/>
  <c r="N68" i="26"/>
  <c r="O119" i="26"/>
  <c r="O120" i="26"/>
  <c r="N130" i="26"/>
  <c r="N131" i="26"/>
  <c r="M27" i="26"/>
  <c r="M28" i="26"/>
  <c r="O93" i="26"/>
  <c r="O96" i="26"/>
  <c r="O47" i="26"/>
  <c r="M103" i="26"/>
  <c r="O161" i="26"/>
  <c r="O140" i="26"/>
  <c r="O150" i="26"/>
  <c r="O97" i="26"/>
  <c r="O98" i="26"/>
  <c r="O122" i="26"/>
  <c r="M161" i="26"/>
  <c r="O110" i="26"/>
  <c r="A49" i="26"/>
  <c r="O130" i="26"/>
  <c r="O17" i="26"/>
  <c r="O18" i="26"/>
  <c r="O65" i="26"/>
  <c r="N47" i="26"/>
  <c r="N48" i="26"/>
  <c r="O21" i="26"/>
  <c r="O27" i="26"/>
  <c r="O28" i="26"/>
  <c r="M17" i="26"/>
  <c r="M18" i="26"/>
  <c r="M55" i="26"/>
  <c r="M88" i="26"/>
  <c r="M89" i="26"/>
  <c r="M110" i="26"/>
  <c r="Y69" i="19"/>
  <c r="W60" i="15"/>
  <c r="O48" i="26"/>
  <c r="O68" i="26"/>
  <c r="M162" i="26"/>
  <c r="M163" i="26"/>
  <c r="O103" i="26"/>
  <c r="M68" i="26"/>
  <c r="M69" i="26"/>
  <c r="O131" i="26"/>
  <c r="O162" i="26"/>
  <c r="O163" i="26"/>
  <c r="M131" i="26"/>
  <c r="M132" i="26"/>
  <c r="N132" i="26"/>
  <c r="N69" i="26"/>
  <c r="N133" i="26"/>
  <c r="N164" i="26"/>
  <c r="O132" i="26"/>
  <c r="O133" i="26"/>
  <c r="O164" i="26"/>
  <c r="M133" i="26"/>
  <c r="M164" i="26"/>
  <c r="Y67" i="19"/>
  <c r="W13" i="15"/>
  <c r="Y36" i="19"/>
  <c r="U49" i="20"/>
  <c r="C30" i="20"/>
  <c r="D30" i="20"/>
  <c r="E30" i="20"/>
  <c r="F30" i="20"/>
  <c r="G30" i="20"/>
  <c r="H30" i="20"/>
  <c r="J30" i="20"/>
  <c r="L30" i="20"/>
  <c r="M30" i="20"/>
  <c r="N30" i="20"/>
  <c r="P30" i="20"/>
  <c r="R30" i="20"/>
  <c r="S30" i="20"/>
  <c r="T30" i="20"/>
  <c r="U30" i="20"/>
  <c r="Y30" i="20"/>
  <c r="Z30" i="20"/>
  <c r="Z114" i="19"/>
  <c r="N54" i="5"/>
  <c r="O30" i="20"/>
  <c r="W109" i="15"/>
  <c r="P55" i="5"/>
  <c r="Q30" i="20" s="1"/>
  <c r="Z30" i="19"/>
  <c r="Z31" i="19"/>
  <c r="Z32" i="19"/>
  <c r="B6" i="16"/>
  <c r="B5" i="16"/>
  <c r="N23" i="19"/>
  <c r="N28" i="19"/>
  <c r="N100" i="19"/>
  <c r="N99" i="19"/>
  <c r="N66" i="19"/>
  <c r="N65" i="19"/>
  <c r="N64" i="19"/>
  <c r="N116" i="19"/>
  <c r="N95" i="19"/>
  <c r="N89" i="19"/>
  <c r="N75" i="19"/>
  <c r="N73" i="19"/>
  <c r="N72" i="19"/>
  <c r="N71" i="19"/>
  <c r="N70" i="19"/>
  <c r="N63" i="19"/>
  <c r="N61" i="19"/>
  <c r="N60" i="19"/>
  <c r="N59" i="19"/>
  <c r="N53" i="19"/>
  <c r="N47" i="19"/>
  <c r="N35" i="19"/>
  <c r="N34" i="19"/>
  <c r="N33" i="19"/>
  <c r="N32" i="19"/>
  <c r="N31" i="19"/>
  <c r="N30" i="19"/>
  <c r="N6" i="19"/>
  <c r="C47" i="20"/>
  <c r="D47" i="20"/>
  <c r="E47" i="20"/>
  <c r="F47" i="20"/>
  <c r="G47" i="20"/>
  <c r="H47" i="20"/>
  <c r="J47" i="20"/>
  <c r="L47" i="20"/>
  <c r="M47" i="20"/>
  <c r="N47" i="20"/>
  <c r="O47" i="20"/>
  <c r="P47" i="20"/>
  <c r="R47" i="20"/>
  <c r="S47" i="20"/>
  <c r="T47" i="20"/>
  <c r="U47" i="20"/>
  <c r="Y47" i="20"/>
  <c r="Z47" i="20"/>
  <c r="C48" i="20"/>
  <c r="D48" i="20"/>
  <c r="E48" i="20"/>
  <c r="F48" i="20"/>
  <c r="G48" i="20"/>
  <c r="H48" i="20"/>
  <c r="J48" i="20"/>
  <c r="L48" i="20"/>
  <c r="M48" i="20"/>
  <c r="N48" i="20"/>
  <c r="O48" i="20"/>
  <c r="P48" i="20"/>
  <c r="R48" i="20"/>
  <c r="S48" i="20"/>
  <c r="T48" i="20"/>
  <c r="U48" i="20"/>
  <c r="Y48" i="20"/>
  <c r="Z48" i="20"/>
  <c r="C49" i="20"/>
  <c r="D49" i="20"/>
  <c r="E49" i="20"/>
  <c r="F49" i="20"/>
  <c r="G49" i="20"/>
  <c r="H49" i="20"/>
  <c r="J49" i="20"/>
  <c r="L49" i="20"/>
  <c r="M49" i="20"/>
  <c r="N49" i="20"/>
  <c r="O49" i="20"/>
  <c r="P49" i="20"/>
  <c r="R49" i="20"/>
  <c r="S49" i="20"/>
  <c r="T49" i="20"/>
  <c r="Y49" i="20"/>
  <c r="Z49" i="20"/>
  <c r="C50" i="20"/>
  <c r="D50" i="20"/>
  <c r="E50" i="20"/>
  <c r="F50" i="20"/>
  <c r="G50" i="20"/>
  <c r="H50" i="20"/>
  <c r="J50" i="20"/>
  <c r="L50" i="20"/>
  <c r="M50" i="20"/>
  <c r="N50" i="20"/>
  <c r="O50" i="20"/>
  <c r="P50" i="20"/>
  <c r="R50" i="20"/>
  <c r="S50" i="20"/>
  <c r="T50" i="20"/>
  <c r="Y50" i="20"/>
  <c r="Z50" i="20"/>
  <c r="C51" i="20"/>
  <c r="D51" i="20"/>
  <c r="E51" i="20"/>
  <c r="F51" i="20"/>
  <c r="G51" i="20"/>
  <c r="H51" i="20"/>
  <c r="J51" i="20"/>
  <c r="L51" i="20"/>
  <c r="M51" i="20"/>
  <c r="N51" i="20"/>
  <c r="O51" i="20"/>
  <c r="P51" i="20"/>
  <c r="R51" i="20"/>
  <c r="S51" i="20"/>
  <c r="T51" i="20"/>
  <c r="Y51" i="20"/>
  <c r="Z51" i="20"/>
  <c r="C40" i="20"/>
  <c r="D40" i="20"/>
  <c r="E40" i="20"/>
  <c r="F40" i="20"/>
  <c r="G40" i="20"/>
  <c r="H40" i="20"/>
  <c r="J40" i="20"/>
  <c r="L40" i="20"/>
  <c r="M40" i="20"/>
  <c r="N40" i="20"/>
  <c r="O40" i="20"/>
  <c r="P40" i="20"/>
  <c r="R40" i="20"/>
  <c r="S40" i="20"/>
  <c r="T40" i="20"/>
  <c r="U40" i="20"/>
  <c r="Y40" i="20"/>
  <c r="Z40" i="20"/>
  <c r="C41" i="20"/>
  <c r="D41" i="20"/>
  <c r="E41" i="20"/>
  <c r="F41" i="20"/>
  <c r="G41" i="20"/>
  <c r="H41" i="20"/>
  <c r="J41" i="20"/>
  <c r="W41" i="20"/>
  <c r="L41" i="20"/>
  <c r="M41" i="20"/>
  <c r="N41" i="20"/>
  <c r="O41" i="20"/>
  <c r="P41" i="20"/>
  <c r="Q41" i="20"/>
  <c r="R41" i="20"/>
  <c r="S41" i="20"/>
  <c r="T41" i="20"/>
  <c r="Y41" i="20"/>
  <c r="Z41" i="20"/>
  <c r="C42" i="20"/>
  <c r="D42" i="20"/>
  <c r="E42" i="20"/>
  <c r="F42" i="20"/>
  <c r="G42" i="20"/>
  <c r="H42" i="20"/>
  <c r="J42" i="20"/>
  <c r="W42" i="20" s="1"/>
  <c r="L42" i="20"/>
  <c r="M42" i="20"/>
  <c r="N42" i="20"/>
  <c r="O42" i="20"/>
  <c r="P42" i="20"/>
  <c r="Q42" i="20"/>
  <c r="R42" i="20"/>
  <c r="T42" i="20"/>
  <c r="Y42" i="20"/>
  <c r="Z42" i="20"/>
  <c r="C43" i="20"/>
  <c r="D43" i="20"/>
  <c r="E43" i="20"/>
  <c r="F43" i="20"/>
  <c r="G43" i="20"/>
  <c r="H43" i="20"/>
  <c r="J43" i="20"/>
  <c r="W43" i="20" s="1"/>
  <c r="L43" i="20"/>
  <c r="M43" i="20"/>
  <c r="N43" i="20"/>
  <c r="O43" i="20"/>
  <c r="P43" i="20"/>
  <c r="Q43" i="20"/>
  <c r="R43" i="20"/>
  <c r="T43" i="20"/>
  <c r="Y43" i="20"/>
  <c r="Z43" i="20"/>
  <c r="C44" i="20"/>
  <c r="D44" i="20"/>
  <c r="E44" i="20"/>
  <c r="F44" i="20"/>
  <c r="G44" i="20"/>
  <c r="H44" i="20"/>
  <c r="J44" i="20"/>
  <c r="W44" i="20" s="1"/>
  <c r="L44" i="20"/>
  <c r="M44" i="20"/>
  <c r="N44" i="20"/>
  <c r="O44" i="20"/>
  <c r="P44" i="20"/>
  <c r="Q44" i="20"/>
  <c r="R44" i="20"/>
  <c r="S44" i="20"/>
  <c r="T44" i="20"/>
  <c r="Y44" i="20"/>
  <c r="Z44" i="20"/>
  <c r="C45" i="20"/>
  <c r="D45" i="20"/>
  <c r="E45" i="20"/>
  <c r="F45" i="20"/>
  <c r="G45" i="20"/>
  <c r="H45" i="20"/>
  <c r="J45" i="20"/>
  <c r="L45" i="20"/>
  <c r="M45" i="20"/>
  <c r="N45" i="20"/>
  <c r="O45" i="20"/>
  <c r="P45" i="20"/>
  <c r="R45" i="20"/>
  <c r="S45" i="20"/>
  <c r="T45" i="20"/>
  <c r="U45" i="20"/>
  <c r="Y45" i="20"/>
  <c r="Z45" i="20"/>
  <c r="C46" i="20"/>
  <c r="D46" i="20"/>
  <c r="E46" i="20"/>
  <c r="F46" i="20"/>
  <c r="G46" i="20"/>
  <c r="H46" i="20"/>
  <c r="J46" i="20"/>
  <c r="L46" i="20"/>
  <c r="M46" i="20"/>
  <c r="N46" i="20"/>
  <c r="O46" i="20"/>
  <c r="P46" i="20"/>
  <c r="R46" i="20"/>
  <c r="S46" i="20"/>
  <c r="T46" i="20"/>
  <c r="U46" i="20"/>
  <c r="Y46" i="20"/>
  <c r="Z46" i="20"/>
  <c r="C3" i="20"/>
  <c r="D3" i="20"/>
  <c r="E3" i="20"/>
  <c r="F3" i="20"/>
  <c r="G3" i="20"/>
  <c r="H3" i="20"/>
  <c r="J3" i="20"/>
  <c r="L3" i="20"/>
  <c r="M3" i="20"/>
  <c r="N3" i="20"/>
  <c r="O3" i="20"/>
  <c r="P3" i="20"/>
  <c r="R3" i="20"/>
  <c r="S3" i="20"/>
  <c r="T3" i="20"/>
  <c r="U3" i="20"/>
  <c r="Y3" i="20"/>
  <c r="Z3" i="20"/>
  <c r="C4" i="20"/>
  <c r="D4" i="20"/>
  <c r="E4" i="20"/>
  <c r="F4" i="20"/>
  <c r="G4" i="20"/>
  <c r="H4" i="20"/>
  <c r="J4" i="20"/>
  <c r="L4" i="20"/>
  <c r="M4" i="20"/>
  <c r="N4" i="20"/>
  <c r="P4" i="20"/>
  <c r="R4" i="20"/>
  <c r="S4" i="20"/>
  <c r="T4" i="20"/>
  <c r="U4" i="20"/>
  <c r="Y4" i="20"/>
  <c r="Z4" i="20"/>
  <c r="C5" i="20"/>
  <c r="D5" i="20"/>
  <c r="E5" i="20"/>
  <c r="F5" i="20"/>
  <c r="G5" i="20"/>
  <c r="H5" i="20"/>
  <c r="J5" i="20"/>
  <c r="L5" i="20"/>
  <c r="M5" i="20"/>
  <c r="N5" i="20"/>
  <c r="O5" i="20"/>
  <c r="P5" i="20"/>
  <c r="R5" i="20"/>
  <c r="S5" i="20"/>
  <c r="T5" i="20"/>
  <c r="V5" i="20"/>
  <c r="Y5" i="20"/>
  <c r="Z5" i="20"/>
  <c r="C6" i="20"/>
  <c r="D6" i="20"/>
  <c r="E6" i="20"/>
  <c r="F6" i="20"/>
  <c r="G6" i="20"/>
  <c r="H6" i="20"/>
  <c r="L6" i="20"/>
  <c r="M6" i="20"/>
  <c r="N6" i="20"/>
  <c r="P6" i="20"/>
  <c r="R6" i="20"/>
  <c r="S6" i="20"/>
  <c r="T6" i="20"/>
  <c r="V6" i="20"/>
  <c r="Y6" i="20"/>
  <c r="Z6" i="20"/>
  <c r="C7" i="20"/>
  <c r="D7" i="20"/>
  <c r="E7" i="20"/>
  <c r="F7" i="20"/>
  <c r="G7" i="20"/>
  <c r="H7" i="20"/>
  <c r="J7" i="20"/>
  <c r="L7" i="20"/>
  <c r="M7" i="20"/>
  <c r="N7" i="20"/>
  <c r="O7" i="20"/>
  <c r="P7" i="20"/>
  <c r="R7" i="20"/>
  <c r="S7" i="20"/>
  <c r="T7" i="20"/>
  <c r="V7" i="20"/>
  <c r="Y7" i="20"/>
  <c r="Z7" i="20"/>
  <c r="C8" i="20"/>
  <c r="D8" i="20"/>
  <c r="E8" i="20"/>
  <c r="F8" i="20"/>
  <c r="G8" i="20"/>
  <c r="H8" i="20"/>
  <c r="J8" i="20"/>
  <c r="L8" i="20"/>
  <c r="M8" i="20"/>
  <c r="N8" i="20"/>
  <c r="O8" i="20"/>
  <c r="P8" i="20"/>
  <c r="R8" i="20"/>
  <c r="S8" i="20"/>
  <c r="T8" i="20"/>
  <c r="V8" i="20"/>
  <c r="Y8" i="20"/>
  <c r="Z8" i="20"/>
  <c r="C9" i="20"/>
  <c r="D9" i="20"/>
  <c r="E9" i="20"/>
  <c r="F9" i="20"/>
  <c r="G9" i="20"/>
  <c r="H9" i="20"/>
  <c r="J9" i="20"/>
  <c r="L9" i="20"/>
  <c r="M9" i="20"/>
  <c r="N9" i="20"/>
  <c r="O9" i="20"/>
  <c r="P9" i="20"/>
  <c r="R9" i="20"/>
  <c r="S9" i="20"/>
  <c r="T9" i="20"/>
  <c r="V9" i="20"/>
  <c r="Y9" i="20"/>
  <c r="Z9" i="20"/>
  <c r="C10" i="20"/>
  <c r="D10" i="20"/>
  <c r="E10" i="20"/>
  <c r="F10" i="20"/>
  <c r="G10" i="20"/>
  <c r="H10" i="20"/>
  <c r="L10" i="20"/>
  <c r="M10" i="20"/>
  <c r="N10" i="20"/>
  <c r="O10" i="20"/>
  <c r="P10" i="20"/>
  <c r="R10" i="20"/>
  <c r="S10" i="20"/>
  <c r="T10" i="20"/>
  <c r="U10" i="20"/>
  <c r="V10" i="20"/>
  <c r="Y10" i="20"/>
  <c r="Z10" i="20"/>
  <c r="C11" i="20"/>
  <c r="D11" i="20"/>
  <c r="E11" i="20"/>
  <c r="F11" i="20"/>
  <c r="G11" i="20"/>
  <c r="H11" i="20"/>
  <c r="J11" i="20"/>
  <c r="L11" i="20"/>
  <c r="M11" i="20"/>
  <c r="N11" i="20"/>
  <c r="O11" i="20"/>
  <c r="P11" i="20"/>
  <c r="R11" i="20"/>
  <c r="S11" i="20"/>
  <c r="T11" i="20"/>
  <c r="U11" i="20"/>
  <c r="Y11" i="20"/>
  <c r="Z11" i="20"/>
  <c r="C12" i="20"/>
  <c r="D12" i="20"/>
  <c r="E12" i="20"/>
  <c r="F12" i="20"/>
  <c r="G12" i="20"/>
  <c r="H12" i="20"/>
  <c r="J12" i="20"/>
  <c r="L12" i="20"/>
  <c r="M12" i="20"/>
  <c r="N12" i="20"/>
  <c r="P12" i="20"/>
  <c r="R12" i="20"/>
  <c r="S12" i="20"/>
  <c r="T12" i="20"/>
  <c r="U12" i="20"/>
  <c r="Y12" i="20"/>
  <c r="Z12" i="20"/>
  <c r="C13" i="20"/>
  <c r="D13" i="20"/>
  <c r="E13" i="20"/>
  <c r="F13" i="20"/>
  <c r="G13" i="20"/>
  <c r="H13" i="20"/>
  <c r="J13" i="20"/>
  <c r="L13" i="20"/>
  <c r="M13" i="20"/>
  <c r="N13" i="20"/>
  <c r="O13" i="20"/>
  <c r="P13" i="20"/>
  <c r="R13" i="20"/>
  <c r="S13" i="20"/>
  <c r="T13" i="20"/>
  <c r="U13" i="20"/>
  <c r="Y13" i="20"/>
  <c r="Z13" i="20"/>
  <c r="C14" i="20"/>
  <c r="D14" i="20"/>
  <c r="E14" i="20"/>
  <c r="F14" i="20"/>
  <c r="G14" i="20"/>
  <c r="H14" i="20"/>
  <c r="J14" i="20"/>
  <c r="L14" i="20"/>
  <c r="M14" i="20"/>
  <c r="N14" i="20"/>
  <c r="O14" i="20"/>
  <c r="P14" i="20"/>
  <c r="R14" i="20"/>
  <c r="S14" i="20"/>
  <c r="T14" i="20"/>
  <c r="U14" i="20"/>
  <c r="Y14" i="20"/>
  <c r="Z14" i="20"/>
  <c r="C15" i="20"/>
  <c r="D15" i="20"/>
  <c r="E15" i="20"/>
  <c r="F15" i="20"/>
  <c r="G15" i="20"/>
  <c r="H15" i="20"/>
  <c r="J15" i="20"/>
  <c r="W15" i="20" s="1"/>
  <c r="L15" i="20"/>
  <c r="M15" i="20"/>
  <c r="N15" i="20"/>
  <c r="O15" i="20"/>
  <c r="P15" i="20"/>
  <c r="R15" i="20"/>
  <c r="S15" i="20"/>
  <c r="T15" i="20"/>
  <c r="Y15" i="20"/>
  <c r="Z15" i="20"/>
  <c r="C16" i="20"/>
  <c r="D16" i="20"/>
  <c r="E16" i="20"/>
  <c r="F16" i="20"/>
  <c r="G16" i="20"/>
  <c r="H16" i="20"/>
  <c r="J16" i="20"/>
  <c r="L16" i="20"/>
  <c r="M16" i="20"/>
  <c r="N16" i="20"/>
  <c r="O16" i="20"/>
  <c r="P16" i="20"/>
  <c r="R16" i="20"/>
  <c r="S16" i="20"/>
  <c r="T16" i="20"/>
  <c r="V16" i="20"/>
  <c r="Y16" i="20"/>
  <c r="Z16" i="20"/>
  <c r="C17" i="20"/>
  <c r="D17" i="20"/>
  <c r="E17" i="20"/>
  <c r="F17" i="20"/>
  <c r="G17" i="20"/>
  <c r="H17" i="20"/>
  <c r="J17" i="20"/>
  <c r="L17" i="20"/>
  <c r="M17" i="20"/>
  <c r="N17" i="20"/>
  <c r="O17" i="20"/>
  <c r="P17" i="20"/>
  <c r="R17" i="20"/>
  <c r="S17" i="20"/>
  <c r="T17" i="20"/>
  <c r="V17" i="20"/>
  <c r="Y17" i="20"/>
  <c r="Z17" i="20"/>
  <c r="C18" i="20"/>
  <c r="D18" i="20"/>
  <c r="E18" i="20"/>
  <c r="F18" i="20"/>
  <c r="G18" i="20"/>
  <c r="H18" i="20"/>
  <c r="J18" i="20"/>
  <c r="L18" i="20"/>
  <c r="M18" i="20"/>
  <c r="N18" i="20"/>
  <c r="O18" i="20"/>
  <c r="P18" i="20"/>
  <c r="R18" i="20"/>
  <c r="S18" i="20"/>
  <c r="T18" i="20"/>
  <c r="V18" i="20"/>
  <c r="Y18" i="20"/>
  <c r="Z18" i="20"/>
  <c r="C19" i="20"/>
  <c r="D19" i="20"/>
  <c r="E19" i="20"/>
  <c r="F19" i="20"/>
  <c r="G19" i="20"/>
  <c r="H19" i="20"/>
  <c r="J19" i="20"/>
  <c r="L19" i="20"/>
  <c r="M19" i="20"/>
  <c r="N19" i="20"/>
  <c r="O19" i="20"/>
  <c r="P19" i="20"/>
  <c r="R19" i="20"/>
  <c r="S19" i="20"/>
  <c r="T19" i="20"/>
  <c r="V19" i="20"/>
  <c r="Y19" i="20"/>
  <c r="Z19" i="20"/>
  <c r="C20" i="20"/>
  <c r="D20" i="20"/>
  <c r="E20" i="20"/>
  <c r="F20" i="20"/>
  <c r="G20" i="20"/>
  <c r="H20" i="20"/>
  <c r="J20" i="20"/>
  <c r="W20" i="20" s="1"/>
  <c r="L20" i="20"/>
  <c r="M20" i="20"/>
  <c r="N20" i="20"/>
  <c r="P20" i="20"/>
  <c r="R20" i="20"/>
  <c r="S20" i="20"/>
  <c r="T20" i="20"/>
  <c r="Y20" i="20"/>
  <c r="Z20" i="20"/>
  <c r="C21" i="20"/>
  <c r="D21" i="20"/>
  <c r="E21" i="20"/>
  <c r="F21" i="20"/>
  <c r="G21" i="20"/>
  <c r="H21" i="20"/>
  <c r="J21" i="20"/>
  <c r="L21" i="20"/>
  <c r="M21" i="20"/>
  <c r="N21" i="20"/>
  <c r="O21" i="20"/>
  <c r="P21" i="20"/>
  <c r="R21" i="20"/>
  <c r="S21" i="20"/>
  <c r="T21" i="20"/>
  <c r="V21" i="20"/>
  <c r="Y21" i="20"/>
  <c r="Z21" i="20"/>
  <c r="C22" i="20"/>
  <c r="D22" i="20"/>
  <c r="E22" i="20"/>
  <c r="F22" i="20"/>
  <c r="G22" i="20"/>
  <c r="H22" i="20"/>
  <c r="J22" i="20"/>
  <c r="L22" i="20"/>
  <c r="M22" i="20"/>
  <c r="N22" i="20"/>
  <c r="O22" i="20"/>
  <c r="P22" i="20"/>
  <c r="R22" i="20"/>
  <c r="S22" i="20"/>
  <c r="T22" i="20"/>
  <c r="U22" i="20"/>
  <c r="Y22" i="20"/>
  <c r="Z22" i="20"/>
  <c r="C23" i="20"/>
  <c r="D23" i="20"/>
  <c r="E23" i="20"/>
  <c r="F23" i="20"/>
  <c r="G23" i="20"/>
  <c r="H23" i="20"/>
  <c r="J23" i="20"/>
  <c r="L23" i="20"/>
  <c r="M23" i="20"/>
  <c r="N23" i="20"/>
  <c r="P23" i="20"/>
  <c r="R23" i="20"/>
  <c r="S23" i="20"/>
  <c r="T23" i="20"/>
  <c r="U23" i="20"/>
  <c r="Y23" i="20"/>
  <c r="Z23" i="20"/>
  <c r="C24" i="20"/>
  <c r="D24" i="20"/>
  <c r="E24" i="20"/>
  <c r="F24" i="20"/>
  <c r="G24" i="20"/>
  <c r="H24" i="20"/>
  <c r="L24" i="20"/>
  <c r="M24" i="20"/>
  <c r="N24" i="20"/>
  <c r="O24" i="20"/>
  <c r="P24" i="20"/>
  <c r="R24" i="20"/>
  <c r="S24" i="20"/>
  <c r="T24" i="20"/>
  <c r="V24" i="20"/>
  <c r="Y24" i="20"/>
  <c r="Z24" i="20"/>
  <c r="C25" i="20"/>
  <c r="D25" i="20"/>
  <c r="E25" i="20"/>
  <c r="F25" i="20"/>
  <c r="G25" i="20"/>
  <c r="H25" i="20"/>
  <c r="J25" i="20"/>
  <c r="L25" i="20"/>
  <c r="M25" i="20"/>
  <c r="N25" i="20"/>
  <c r="P25" i="20"/>
  <c r="R25" i="20"/>
  <c r="S25" i="20"/>
  <c r="T25" i="20"/>
  <c r="U25" i="20"/>
  <c r="Y25" i="20"/>
  <c r="Z25" i="20"/>
  <c r="C26" i="20"/>
  <c r="D26" i="20"/>
  <c r="E26" i="20"/>
  <c r="F26" i="20"/>
  <c r="G26" i="20"/>
  <c r="H26" i="20"/>
  <c r="J26" i="20"/>
  <c r="L26" i="20"/>
  <c r="M26" i="20"/>
  <c r="N26" i="20"/>
  <c r="O26" i="20"/>
  <c r="P26" i="20"/>
  <c r="Q26" i="20"/>
  <c r="R26" i="20"/>
  <c r="S26" i="20"/>
  <c r="T26" i="20"/>
  <c r="U26" i="20"/>
  <c r="Y26" i="20"/>
  <c r="Z26" i="20"/>
  <c r="C27" i="20"/>
  <c r="D27" i="20"/>
  <c r="E27" i="20"/>
  <c r="F27" i="20"/>
  <c r="G27" i="20"/>
  <c r="H27" i="20"/>
  <c r="J27" i="20"/>
  <c r="W27" i="20" s="1"/>
  <c r="L27" i="20"/>
  <c r="M27" i="20"/>
  <c r="N27" i="20"/>
  <c r="O27" i="20"/>
  <c r="Q27" i="20"/>
  <c r="R27" i="20"/>
  <c r="S27" i="20"/>
  <c r="T27" i="20"/>
  <c r="Y27" i="20"/>
  <c r="Z27" i="20"/>
  <c r="C28" i="20"/>
  <c r="D28" i="20"/>
  <c r="E28" i="20"/>
  <c r="F28" i="20"/>
  <c r="G28" i="20"/>
  <c r="H28" i="20"/>
  <c r="J28" i="20"/>
  <c r="W28" i="20" s="1"/>
  <c r="L28" i="20"/>
  <c r="M28" i="20"/>
  <c r="N28" i="20"/>
  <c r="O28" i="20"/>
  <c r="P28" i="20"/>
  <c r="Q28" i="20"/>
  <c r="R28" i="20"/>
  <c r="S28" i="20"/>
  <c r="T28" i="20"/>
  <c r="Y28" i="20"/>
  <c r="Z28" i="20"/>
  <c r="C29" i="20"/>
  <c r="D29" i="20"/>
  <c r="E29" i="20"/>
  <c r="F29" i="20"/>
  <c r="G29" i="20"/>
  <c r="H29" i="20"/>
  <c r="J29" i="20"/>
  <c r="L29" i="20"/>
  <c r="M29" i="20"/>
  <c r="N29" i="20"/>
  <c r="O29" i="20"/>
  <c r="P29" i="20"/>
  <c r="R29" i="20"/>
  <c r="S29" i="20"/>
  <c r="T29" i="20"/>
  <c r="U29" i="20"/>
  <c r="Y29" i="20"/>
  <c r="Z29" i="20"/>
  <c r="C31" i="20"/>
  <c r="D31" i="20"/>
  <c r="E31" i="20"/>
  <c r="F31" i="20"/>
  <c r="G31" i="20"/>
  <c r="H31" i="20"/>
  <c r="L31" i="20"/>
  <c r="M31" i="20"/>
  <c r="N31" i="20"/>
  <c r="O31" i="20"/>
  <c r="P31" i="20"/>
  <c r="R31" i="20"/>
  <c r="S31" i="20"/>
  <c r="T31" i="20"/>
  <c r="V31" i="20"/>
  <c r="Y31" i="20"/>
  <c r="Z31" i="20"/>
  <c r="C32" i="20"/>
  <c r="D32" i="20"/>
  <c r="E32" i="20"/>
  <c r="F32" i="20"/>
  <c r="G32" i="20"/>
  <c r="H32" i="20"/>
  <c r="J32" i="20"/>
  <c r="W32" i="20" s="1"/>
  <c r="L32" i="20"/>
  <c r="M32" i="20"/>
  <c r="N32" i="20"/>
  <c r="O32" i="20"/>
  <c r="P32" i="20"/>
  <c r="R32" i="20"/>
  <c r="S32" i="20"/>
  <c r="T32" i="20"/>
  <c r="Y32" i="20"/>
  <c r="Z32" i="20"/>
  <c r="C33" i="20"/>
  <c r="D33" i="20"/>
  <c r="E33" i="20"/>
  <c r="F33" i="20"/>
  <c r="G33" i="20"/>
  <c r="H33" i="20"/>
  <c r="L33" i="20"/>
  <c r="M33" i="20"/>
  <c r="N33" i="20"/>
  <c r="O33" i="20"/>
  <c r="P33" i="20"/>
  <c r="R33" i="20"/>
  <c r="S33" i="20"/>
  <c r="T33" i="20"/>
  <c r="Y33" i="20"/>
  <c r="Z33" i="20"/>
  <c r="C34" i="20"/>
  <c r="D34" i="20"/>
  <c r="E34" i="20"/>
  <c r="F34" i="20"/>
  <c r="G34" i="20"/>
  <c r="H34" i="20"/>
  <c r="J34" i="20"/>
  <c r="L34" i="20"/>
  <c r="M34" i="20"/>
  <c r="N34" i="20"/>
  <c r="O34" i="20"/>
  <c r="P34" i="20"/>
  <c r="R34" i="20"/>
  <c r="S34" i="20"/>
  <c r="T34" i="20"/>
  <c r="V34" i="20"/>
  <c r="Y34" i="20"/>
  <c r="Z34" i="20"/>
  <c r="C35" i="20"/>
  <c r="D35" i="20"/>
  <c r="E35" i="20"/>
  <c r="F35" i="20"/>
  <c r="G35" i="20"/>
  <c r="H35" i="20"/>
  <c r="J35" i="20"/>
  <c r="L35" i="20"/>
  <c r="M35" i="20"/>
  <c r="N35" i="20"/>
  <c r="P35" i="20"/>
  <c r="R35" i="20"/>
  <c r="S35" i="20"/>
  <c r="T35" i="20"/>
  <c r="U35" i="20"/>
  <c r="Y35" i="20"/>
  <c r="Z35" i="20"/>
  <c r="C36" i="20"/>
  <c r="D36" i="20"/>
  <c r="E36" i="20"/>
  <c r="F36" i="20"/>
  <c r="G36" i="20"/>
  <c r="H36" i="20"/>
  <c r="J36" i="20"/>
  <c r="L36" i="20"/>
  <c r="M36" i="20"/>
  <c r="N36" i="20"/>
  <c r="P36" i="20"/>
  <c r="R36" i="20"/>
  <c r="S36" i="20"/>
  <c r="T36" i="20"/>
  <c r="U36" i="20"/>
  <c r="Y36" i="20"/>
  <c r="Z36" i="20"/>
  <c r="C37" i="20"/>
  <c r="D37" i="20"/>
  <c r="E37" i="20"/>
  <c r="F37" i="20"/>
  <c r="G37" i="20"/>
  <c r="H37" i="20"/>
  <c r="L37" i="20"/>
  <c r="M37" i="20"/>
  <c r="N37" i="20"/>
  <c r="O37" i="20"/>
  <c r="P37" i="20"/>
  <c r="R37" i="20"/>
  <c r="S37" i="20"/>
  <c r="T37" i="20"/>
  <c r="V37" i="20"/>
  <c r="Y37" i="20"/>
  <c r="Z37" i="20"/>
  <c r="C38" i="20"/>
  <c r="D38" i="20"/>
  <c r="E38" i="20"/>
  <c r="F38" i="20"/>
  <c r="G38" i="20"/>
  <c r="H38" i="20"/>
  <c r="L38" i="20"/>
  <c r="M38" i="20"/>
  <c r="N38" i="20"/>
  <c r="O38" i="20"/>
  <c r="P38" i="20"/>
  <c r="R38" i="20"/>
  <c r="S38" i="20"/>
  <c r="T38" i="20"/>
  <c r="V38" i="20"/>
  <c r="Y38" i="20"/>
  <c r="Z38" i="20"/>
  <c r="C39" i="20"/>
  <c r="D39" i="20"/>
  <c r="E39" i="20"/>
  <c r="F39" i="20"/>
  <c r="G39" i="20"/>
  <c r="H39" i="20"/>
  <c r="J39" i="20"/>
  <c r="W39" i="20" s="1"/>
  <c r="L39" i="20"/>
  <c r="M39" i="20"/>
  <c r="N39" i="20"/>
  <c r="O39" i="20"/>
  <c r="P39" i="20"/>
  <c r="R39" i="20"/>
  <c r="S39" i="20"/>
  <c r="T39" i="20"/>
  <c r="Y39" i="20"/>
  <c r="Z39" i="20"/>
  <c r="Z2" i="20"/>
  <c r="Y2" i="20"/>
  <c r="V2" i="20"/>
  <c r="T2" i="20"/>
  <c r="S2" i="20"/>
  <c r="R2" i="20"/>
  <c r="P2" i="20"/>
  <c r="O2" i="20"/>
  <c r="N2" i="20"/>
  <c r="M2" i="20"/>
  <c r="L2" i="20"/>
  <c r="J2" i="20"/>
  <c r="H2" i="20"/>
  <c r="G2" i="20"/>
  <c r="F2" i="20"/>
  <c r="E2" i="20"/>
  <c r="D2" i="20"/>
  <c r="C2" i="20"/>
  <c r="F109" i="19"/>
  <c r="G109" i="19"/>
  <c r="H109" i="19"/>
  <c r="I109" i="19"/>
  <c r="J109" i="19"/>
  <c r="K109" i="19"/>
  <c r="L109" i="19"/>
  <c r="N109" i="19"/>
  <c r="P109" i="19"/>
  <c r="Q109" i="19"/>
  <c r="R109" i="19"/>
  <c r="S109" i="19"/>
  <c r="T109" i="19"/>
  <c r="V109" i="19"/>
  <c r="W109" i="19"/>
  <c r="X109" i="19"/>
  <c r="Y109" i="19"/>
  <c r="AC109" i="19"/>
  <c r="AD109" i="19"/>
  <c r="F110" i="19"/>
  <c r="G110" i="19"/>
  <c r="H110" i="19"/>
  <c r="I110" i="19"/>
  <c r="J110" i="19"/>
  <c r="K110" i="19"/>
  <c r="L110" i="19"/>
  <c r="N110" i="19"/>
  <c r="P110" i="19"/>
  <c r="Q110" i="19"/>
  <c r="R110" i="19"/>
  <c r="S110" i="19"/>
  <c r="T110" i="19"/>
  <c r="V110" i="19"/>
  <c r="W110" i="19"/>
  <c r="X110" i="19"/>
  <c r="Z110" i="19"/>
  <c r="AC110" i="19"/>
  <c r="AD110" i="19"/>
  <c r="F111" i="19"/>
  <c r="G111" i="19"/>
  <c r="H111" i="19"/>
  <c r="I111" i="19"/>
  <c r="J111" i="19"/>
  <c r="K111" i="19"/>
  <c r="L111" i="19"/>
  <c r="N111" i="19"/>
  <c r="P111" i="19"/>
  <c r="Q111" i="19"/>
  <c r="R111" i="19"/>
  <c r="T111" i="19"/>
  <c r="V111" i="19"/>
  <c r="W111" i="19"/>
  <c r="X111" i="19"/>
  <c r="Z111" i="19"/>
  <c r="AC111" i="19"/>
  <c r="AD111" i="19"/>
  <c r="F112" i="19"/>
  <c r="G112" i="19"/>
  <c r="H112" i="19"/>
  <c r="I112" i="19"/>
  <c r="J112" i="19"/>
  <c r="K112" i="19"/>
  <c r="L112" i="19"/>
  <c r="N112" i="19"/>
  <c r="P112" i="19"/>
  <c r="Q112" i="19"/>
  <c r="R112" i="19"/>
  <c r="S112" i="19"/>
  <c r="T112" i="19"/>
  <c r="V112" i="19"/>
  <c r="Z112" i="19"/>
  <c r="AC112" i="19"/>
  <c r="AD112" i="19"/>
  <c r="F113" i="19"/>
  <c r="G113" i="19"/>
  <c r="H113" i="19"/>
  <c r="I113" i="19"/>
  <c r="J113" i="19"/>
  <c r="K113" i="19"/>
  <c r="L113" i="19"/>
  <c r="N113" i="19"/>
  <c r="P113" i="19"/>
  <c r="Q113" i="19"/>
  <c r="R113" i="19"/>
  <c r="S113" i="19"/>
  <c r="T113" i="19"/>
  <c r="V113" i="19"/>
  <c r="W113" i="19"/>
  <c r="X113" i="19"/>
  <c r="Z113" i="19"/>
  <c r="AC113" i="19"/>
  <c r="AD113" i="19"/>
  <c r="F114" i="19"/>
  <c r="G114" i="19"/>
  <c r="H114" i="19"/>
  <c r="I114" i="19"/>
  <c r="J114" i="19"/>
  <c r="K114" i="19"/>
  <c r="L114" i="19"/>
  <c r="N114" i="19"/>
  <c r="P114" i="19"/>
  <c r="Q114" i="19"/>
  <c r="R114" i="19"/>
  <c r="S114" i="19"/>
  <c r="T114" i="19"/>
  <c r="V114" i="19"/>
  <c r="W114" i="19"/>
  <c r="X114" i="19"/>
  <c r="AC114" i="19"/>
  <c r="AD114" i="19"/>
  <c r="F115" i="19"/>
  <c r="G115" i="19"/>
  <c r="H115" i="19"/>
  <c r="I115" i="19"/>
  <c r="J115" i="19"/>
  <c r="K115" i="19"/>
  <c r="L115" i="19"/>
  <c r="N115" i="19"/>
  <c r="P115" i="19"/>
  <c r="Q115" i="19"/>
  <c r="R115" i="19"/>
  <c r="T115" i="19"/>
  <c r="V115" i="19"/>
  <c r="W115" i="19"/>
  <c r="X115" i="19"/>
  <c r="AC115" i="19"/>
  <c r="AD115" i="19"/>
  <c r="F116" i="19"/>
  <c r="G116" i="19"/>
  <c r="H116" i="19"/>
  <c r="I116" i="19"/>
  <c r="J116" i="19"/>
  <c r="K116" i="19"/>
  <c r="L116" i="19"/>
  <c r="P116" i="19"/>
  <c r="Q116" i="19"/>
  <c r="R116" i="19"/>
  <c r="S116" i="19"/>
  <c r="T116" i="19"/>
  <c r="V116" i="19"/>
  <c r="W116" i="19"/>
  <c r="X116" i="19"/>
  <c r="Z116" i="19"/>
  <c r="AC116" i="19"/>
  <c r="AD116" i="19"/>
  <c r="F93" i="19"/>
  <c r="G93" i="19"/>
  <c r="H93" i="19"/>
  <c r="I93" i="19"/>
  <c r="J93" i="19"/>
  <c r="K93" i="19"/>
  <c r="L93" i="19"/>
  <c r="N93" i="19"/>
  <c r="P93" i="19"/>
  <c r="Q93" i="19"/>
  <c r="R93" i="19"/>
  <c r="T93" i="19"/>
  <c r="V93" i="19"/>
  <c r="W93" i="19"/>
  <c r="X93" i="19"/>
  <c r="Z93" i="19"/>
  <c r="AC93" i="19"/>
  <c r="AD93" i="19"/>
  <c r="F94" i="19"/>
  <c r="G94" i="19"/>
  <c r="H94" i="19"/>
  <c r="I94" i="19"/>
  <c r="J94" i="19"/>
  <c r="K94" i="19"/>
  <c r="L94" i="19"/>
  <c r="N94" i="19"/>
  <c r="P94" i="19"/>
  <c r="Q94" i="19"/>
  <c r="R94" i="19"/>
  <c r="S94" i="19"/>
  <c r="T94" i="19"/>
  <c r="V94" i="19"/>
  <c r="W94" i="19"/>
  <c r="X94" i="19"/>
  <c r="Z94" i="19"/>
  <c r="AC94" i="19"/>
  <c r="AD94" i="19"/>
  <c r="F95" i="19"/>
  <c r="G95" i="19"/>
  <c r="H95" i="19"/>
  <c r="I95" i="19"/>
  <c r="J95" i="19"/>
  <c r="K95" i="19"/>
  <c r="L95" i="19"/>
  <c r="P95" i="19"/>
  <c r="Q95" i="19"/>
  <c r="R95" i="19"/>
  <c r="S95" i="19"/>
  <c r="T95" i="19"/>
  <c r="V95" i="19"/>
  <c r="W95" i="19"/>
  <c r="X95" i="19"/>
  <c r="Z95" i="19"/>
  <c r="AC95" i="19"/>
  <c r="AD95" i="19"/>
  <c r="F96" i="19"/>
  <c r="G96" i="19"/>
  <c r="H96" i="19"/>
  <c r="I96" i="19"/>
  <c r="J96" i="19"/>
  <c r="K96" i="19"/>
  <c r="L96" i="19"/>
  <c r="N96" i="19"/>
  <c r="P96" i="19"/>
  <c r="Q96" i="19"/>
  <c r="S96" i="19"/>
  <c r="V96" i="19"/>
  <c r="W96" i="19"/>
  <c r="X96" i="19"/>
  <c r="Y96" i="19"/>
  <c r="AC96" i="19"/>
  <c r="AD96" i="19"/>
  <c r="F97" i="19"/>
  <c r="G97" i="19"/>
  <c r="H97" i="19"/>
  <c r="I97" i="19"/>
  <c r="J97" i="19"/>
  <c r="K97" i="19"/>
  <c r="L97" i="19"/>
  <c r="N97" i="19"/>
  <c r="P97" i="19"/>
  <c r="Q97" i="19"/>
  <c r="R97" i="19"/>
  <c r="S97" i="19"/>
  <c r="T97" i="19"/>
  <c r="V97" i="19"/>
  <c r="W97" i="19"/>
  <c r="X97" i="19"/>
  <c r="AC97" i="19"/>
  <c r="AD97" i="19"/>
  <c r="F98" i="19"/>
  <c r="G98" i="19"/>
  <c r="H98" i="19"/>
  <c r="I98" i="19"/>
  <c r="J98" i="19"/>
  <c r="K98" i="19"/>
  <c r="L98" i="19"/>
  <c r="N98" i="19"/>
  <c r="P98" i="19"/>
  <c r="Q98" i="19"/>
  <c r="R98" i="19"/>
  <c r="S98" i="19"/>
  <c r="V98" i="19"/>
  <c r="W98" i="19"/>
  <c r="AC98" i="19"/>
  <c r="AD98" i="19"/>
  <c r="F99" i="19"/>
  <c r="G99" i="19"/>
  <c r="H99" i="19"/>
  <c r="I99" i="19"/>
  <c r="J99" i="19"/>
  <c r="K99" i="19"/>
  <c r="L99" i="19"/>
  <c r="P99" i="19"/>
  <c r="Q99" i="19"/>
  <c r="R99" i="19"/>
  <c r="S99" i="19"/>
  <c r="T99" i="19"/>
  <c r="V99" i="19"/>
  <c r="W99" i="19"/>
  <c r="X99" i="19"/>
  <c r="Z99" i="19"/>
  <c r="AC99" i="19"/>
  <c r="AD99" i="19"/>
  <c r="F100" i="19"/>
  <c r="G100" i="19"/>
  <c r="H100" i="19"/>
  <c r="I100" i="19"/>
  <c r="J100" i="19"/>
  <c r="K100" i="19"/>
  <c r="L100" i="19"/>
  <c r="P100" i="19"/>
  <c r="Q100" i="19"/>
  <c r="R100" i="19"/>
  <c r="S100" i="19"/>
  <c r="T100" i="19"/>
  <c r="V100" i="19"/>
  <c r="W100" i="19"/>
  <c r="X100" i="19"/>
  <c r="Z100" i="19"/>
  <c r="AC100" i="19"/>
  <c r="AD100" i="19"/>
  <c r="F101" i="19"/>
  <c r="G101" i="19"/>
  <c r="H101" i="19"/>
  <c r="I101" i="19"/>
  <c r="J101" i="19"/>
  <c r="K101" i="19"/>
  <c r="L101" i="19"/>
  <c r="N101" i="19"/>
  <c r="P101" i="19"/>
  <c r="Q101" i="19"/>
  <c r="R101" i="19"/>
  <c r="T101" i="19"/>
  <c r="V101" i="19"/>
  <c r="X101" i="19"/>
  <c r="Z101" i="19"/>
  <c r="AC101" i="19"/>
  <c r="AD101" i="19"/>
  <c r="F102" i="19"/>
  <c r="G102" i="19"/>
  <c r="H102" i="19"/>
  <c r="I102" i="19"/>
  <c r="J102" i="19"/>
  <c r="K102" i="19"/>
  <c r="L102" i="19"/>
  <c r="N102" i="19"/>
  <c r="P102" i="19"/>
  <c r="Q102" i="19"/>
  <c r="R102" i="19"/>
  <c r="S102" i="19"/>
  <c r="T102" i="19"/>
  <c r="V102" i="19"/>
  <c r="W102" i="19"/>
  <c r="X102" i="19"/>
  <c r="Z102" i="19"/>
  <c r="AC102" i="19"/>
  <c r="AD102" i="19"/>
  <c r="F103" i="19"/>
  <c r="G103" i="19"/>
  <c r="H103" i="19"/>
  <c r="I103" i="19"/>
  <c r="J103" i="19"/>
  <c r="K103" i="19"/>
  <c r="L103" i="19"/>
  <c r="N103" i="19"/>
  <c r="P103" i="19"/>
  <c r="Q103" i="19"/>
  <c r="R103" i="19"/>
  <c r="S103" i="19"/>
  <c r="T103" i="19"/>
  <c r="V103" i="19"/>
  <c r="W103" i="19"/>
  <c r="X103" i="19"/>
  <c r="Z103" i="19"/>
  <c r="AC103" i="19"/>
  <c r="AD103" i="19"/>
  <c r="F104" i="19"/>
  <c r="G104" i="19"/>
  <c r="H104" i="19"/>
  <c r="I104" i="19"/>
  <c r="J104" i="19"/>
  <c r="K104" i="19"/>
  <c r="L104" i="19"/>
  <c r="N104" i="19"/>
  <c r="P104" i="19"/>
  <c r="Q104" i="19"/>
  <c r="R104" i="19"/>
  <c r="S104" i="19"/>
  <c r="T104" i="19"/>
  <c r="V104" i="19"/>
  <c r="W104" i="19"/>
  <c r="X104" i="19"/>
  <c r="Z104" i="19"/>
  <c r="AC104" i="19"/>
  <c r="AD104" i="19"/>
  <c r="F105" i="19"/>
  <c r="G105" i="19"/>
  <c r="H105" i="19"/>
  <c r="I105" i="19"/>
  <c r="J105" i="19"/>
  <c r="K105" i="19"/>
  <c r="L105" i="19"/>
  <c r="N105" i="19"/>
  <c r="P105" i="19"/>
  <c r="Q105" i="19"/>
  <c r="R105" i="19"/>
  <c r="S105" i="19"/>
  <c r="T105" i="19"/>
  <c r="V105" i="19"/>
  <c r="W105" i="19"/>
  <c r="X105" i="19"/>
  <c r="Z105" i="19"/>
  <c r="AC105" i="19"/>
  <c r="AD105" i="19"/>
  <c r="F106" i="19"/>
  <c r="G106" i="19"/>
  <c r="H106" i="19"/>
  <c r="I106" i="19"/>
  <c r="J106" i="19"/>
  <c r="K106" i="19"/>
  <c r="L106" i="19"/>
  <c r="N106" i="19"/>
  <c r="P106" i="19"/>
  <c r="Q106" i="19"/>
  <c r="R106" i="19"/>
  <c r="S106" i="19"/>
  <c r="T106" i="19"/>
  <c r="V106" i="19"/>
  <c r="W106" i="19"/>
  <c r="X106" i="19"/>
  <c r="Z106" i="19"/>
  <c r="AC106" i="19"/>
  <c r="AD106" i="19"/>
  <c r="F107" i="19"/>
  <c r="G107" i="19"/>
  <c r="H107" i="19"/>
  <c r="I107" i="19"/>
  <c r="J107" i="19"/>
  <c r="K107" i="19"/>
  <c r="L107" i="19"/>
  <c r="N107" i="19"/>
  <c r="P107" i="19"/>
  <c r="Q107" i="19"/>
  <c r="R107" i="19"/>
  <c r="S107" i="19"/>
  <c r="T107" i="19"/>
  <c r="V107" i="19"/>
  <c r="W107" i="19"/>
  <c r="X107" i="19"/>
  <c r="AC107" i="19"/>
  <c r="AD107" i="19"/>
  <c r="F108" i="19"/>
  <c r="G108" i="19"/>
  <c r="H108" i="19"/>
  <c r="I108" i="19"/>
  <c r="J108" i="19"/>
  <c r="K108" i="19"/>
  <c r="L108" i="19"/>
  <c r="N108" i="19"/>
  <c r="P108" i="19"/>
  <c r="Q108" i="19"/>
  <c r="R108" i="19"/>
  <c r="S108" i="19"/>
  <c r="T108" i="19"/>
  <c r="V108" i="19"/>
  <c r="W108" i="19"/>
  <c r="X108" i="19"/>
  <c r="Z108" i="19"/>
  <c r="AC108" i="19"/>
  <c r="AD108" i="19"/>
  <c r="F77" i="19"/>
  <c r="G77" i="19"/>
  <c r="H77" i="19"/>
  <c r="I77" i="19"/>
  <c r="J77" i="19"/>
  <c r="K77" i="19"/>
  <c r="L77" i="19"/>
  <c r="N77" i="19"/>
  <c r="P77" i="19"/>
  <c r="Q77" i="19"/>
  <c r="R77" i="19"/>
  <c r="S77" i="19"/>
  <c r="T77" i="19"/>
  <c r="V77" i="19"/>
  <c r="W77" i="19"/>
  <c r="X77" i="19"/>
  <c r="Z77" i="19"/>
  <c r="AC77" i="19"/>
  <c r="AD77" i="19"/>
  <c r="F78" i="19"/>
  <c r="G78" i="19"/>
  <c r="H78" i="19"/>
  <c r="I78" i="19"/>
  <c r="J78" i="19"/>
  <c r="K78" i="19"/>
  <c r="L78" i="19"/>
  <c r="N78" i="19"/>
  <c r="P78" i="19"/>
  <c r="Q78" i="19"/>
  <c r="R78" i="19"/>
  <c r="S78" i="19"/>
  <c r="T78" i="19"/>
  <c r="V78" i="19"/>
  <c r="W78" i="19"/>
  <c r="X78" i="19"/>
  <c r="Z78" i="19"/>
  <c r="AC78" i="19"/>
  <c r="AD78" i="19"/>
  <c r="F79" i="19"/>
  <c r="G79" i="19"/>
  <c r="H79" i="19"/>
  <c r="I79" i="19"/>
  <c r="J79" i="19"/>
  <c r="K79" i="19"/>
  <c r="L79" i="19"/>
  <c r="N79" i="19"/>
  <c r="P79" i="19"/>
  <c r="Q79" i="19"/>
  <c r="R79" i="19"/>
  <c r="S79" i="19"/>
  <c r="T79" i="19"/>
  <c r="V79" i="19"/>
  <c r="W79" i="19"/>
  <c r="AC79" i="19"/>
  <c r="AD79" i="19"/>
  <c r="F80" i="19"/>
  <c r="G80" i="19"/>
  <c r="H80" i="19"/>
  <c r="I80" i="19"/>
  <c r="J80" i="19"/>
  <c r="K80" i="19"/>
  <c r="L80" i="19"/>
  <c r="N80" i="19"/>
  <c r="P80" i="19"/>
  <c r="Q80" i="19"/>
  <c r="R80" i="19"/>
  <c r="S80" i="19"/>
  <c r="T80" i="19"/>
  <c r="V80" i="19"/>
  <c r="X80" i="19"/>
  <c r="Z80" i="19"/>
  <c r="AC80" i="19"/>
  <c r="AD80" i="19"/>
  <c r="F81" i="19"/>
  <c r="G81" i="19"/>
  <c r="H81" i="19"/>
  <c r="I81" i="19"/>
  <c r="J81" i="19"/>
  <c r="K81" i="19"/>
  <c r="L81" i="19"/>
  <c r="N81" i="19"/>
  <c r="P81" i="19"/>
  <c r="Q81" i="19"/>
  <c r="R81" i="19"/>
  <c r="T81" i="19"/>
  <c r="V81" i="19"/>
  <c r="X81" i="19"/>
  <c r="Z81" i="19"/>
  <c r="AC81" i="19"/>
  <c r="AD81" i="19"/>
  <c r="F82" i="19"/>
  <c r="G82" i="19"/>
  <c r="H82" i="19"/>
  <c r="I82" i="19"/>
  <c r="J82" i="19"/>
  <c r="K82" i="19"/>
  <c r="L82" i="19"/>
  <c r="N82" i="19"/>
  <c r="P82" i="19"/>
  <c r="Q82" i="19"/>
  <c r="R82" i="19"/>
  <c r="S82" i="19"/>
  <c r="T82" i="19"/>
  <c r="V82" i="19"/>
  <c r="X82" i="19"/>
  <c r="Z82" i="19"/>
  <c r="AC82" i="19"/>
  <c r="AD82" i="19"/>
  <c r="F83" i="19"/>
  <c r="G83" i="19"/>
  <c r="H83" i="19"/>
  <c r="I83" i="19"/>
  <c r="J83" i="19"/>
  <c r="K83" i="19"/>
  <c r="L83" i="19"/>
  <c r="N83" i="19"/>
  <c r="P83" i="19"/>
  <c r="Q83" i="19"/>
  <c r="R83" i="19"/>
  <c r="S83" i="19"/>
  <c r="T83" i="19"/>
  <c r="V83" i="19"/>
  <c r="W83" i="19"/>
  <c r="X83" i="19"/>
  <c r="Z83" i="19"/>
  <c r="AC83" i="19"/>
  <c r="AD83" i="19"/>
  <c r="F84" i="19"/>
  <c r="G84" i="19"/>
  <c r="H84" i="19"/>
  <c r="I84" i="19"/>
  <c r="J84" i="19"/>
  <c r="K84" i="19"/>
  <c r="L84" i="19"/>
  <c r="N84" i="19"/>
  <c r="P84" i="19"/>
  <c r="Q84" i="19"/>
  <c r="R84" i="19"/>
  <c r="S84" i="19"/>
  <c r="T84" i="19"/>
  <c r="V84" i="19"/>
  <c r="W84" i="19"/>
  <c r="X84" i="19"/>
  <c r="Z84" i="19"/>
  <c r="AC84" i="19"/>
  <c r="AD84" i="19"/>
  <c r="F85" i="19"/>
  <c r="G85" i="19"/>
  <c r="H85" i="19"/>
  <c r="I85" i="19"/>
  <c r="J85" i="19"/>
  <c r="K85" i="19"/>
  <c r="L85" i="19"/>
  <c r="N85" i="19"/>
  <c r="P85" i="19"/>
  <c r="Q85" i="19"/>
  <c r="R85" i="19"/>
  <c r="S85" i="19"/>
  <c r="T85" i="19"/>
  <c r="U85" i="19"/>
  <c r="V85" i="19"/>
  <c r="W85" i="19"/>
  <c r="X85" i="19"/>
  <c r="Y85" i="19"/>
  <c r="AC85" i="19"/>
  <c r="AD85" i="19"/>
  <c r="F86" i="19"/>
  <c r="G86" i="19"/>
  <c r="H86" i="19"/>
  <c r="I86" i="19"/>
  <c r="J86" i="19"/>
  <c r="K86" i="19"/>
  <c r="L86" i="19"/>
  <c r="N86" i="19"/>
  <c r="P86" i="19"/>
  <c r="Q86" i="19"/>
  <c r="R86" i="19"/>
  <c r="S86" i="19"/>
  <c r="T86" i="19"/>
  <c r="V86" i="19"/>
  <c r="W86" i="19"/>
  <c r="X86" i="19"/>
  <c r="Z86" i="19"/>
  <c r="AC86" i="19"/>
  <c r="AD86" i="19"/>
  <c r="F87" i="19"/>
  <c r="G87" i="19"/>
  <c r="H87" i="19"/>
  <c r="I87" i="19"/>
  <c r="J87" i="19"/>
  <c r="K87" i="19"/>
  <c r="L87" i="19"/>
  <c r="N87" i="19"/>
  <c r="P87" i="19"/>
  <c r="Q87" i="19"/>
  <c r="R87" i="19"/>
  <c r="S87" i="19"/>
  <c r="T87" i="19"/>
  <c r="V87" i="19"/>
  <c r="W87" i="19"/>
  <c r="X87" i="19"/>
  <c r="Z87" i="19"/>
  <c r="AC87" i="19"/>
  <c r="AD87" i="19"/>
  <c r="F88" i="19"/>
  <c r="G88" i="19"/>
  <c r="H88" i="19"/>
  <c r="I88" i="19"/>
  <c r="J88" i="19"/>
  <c r="K88" i="19"/>
  <c r="L88" i="19"/>
  <c r="N88" i="19"/>
  <c r="P88" i="19"/>
  <c r="Q88" i="19"/>
  <c r="R88" i="19"/>
  <c r="T88" i="19"/>
  <c r="V88" i="19"/>
  <c r="W88" i="19"/>
  <c r="X88" i="19"/>
  <c r="Z88" i="19"/>
  <c r="AC88" i="19"/>
  <c r="AD88" i="19"/>
  <c r="F89" i="19"/>
  <c r="G89" i="19"/>
  <c r="H89" i="19"/>
  <c r="I89" i="19"/>
  <c r="J89" i="19"/>
  <c r="K89" i="19"/>
  <c r="L89" i="19"/>
  <c r="P89" i="19"/>
  <c r="Q89" i="19"/>
  <c r="R89" i="19"/>
  <c r="T89" i="19"/>
  <c r="V89" i="19"/>
  <c r="W89" i="19"/>
  <c r="X89" i="19"/>
  <c r="Z89" i="19"/>
  <c r="AC89" i="19"/>
  <c r="AD89" i="19"/>
  <c r="F90" i="19"/>
  <c r="G90" i="19"/>
  <c r="H90" i="19"/>
  <c r="I90" i="19"/>
  <c r="J90" i="19"/>
  <c r="K90" i="19"/>
  <c r="L90" i="19"/>
  <c r="N90" i="19"/>
  <c r="P90" i="19"/>
  <c r="Q90" i="19"/>
  <c r="R90" i="19"/>
  <c r="S90" i="19"/>
  <c r="T90" i="19"/>
  <c r="V90" i="19"/>
  <c r="W90" i="19"/>
  <c r="X90" i="19"/>
  <c r="Z90" i="19"/>
  <c r="AC90" i="19"/>
  <c r="AD90" i="19"/>
  <c r="F91" i="19"/>
  <c r="G91" i="19"/>
  <c r="H91" i="19"/>
  <c r="I91" i="19"/>
  <c r="J91" i="19"/>
  <c r="K91" i="19"/>
  <c r="L91" i="19"/>
  <c r="N91" i="19"/>
  <c r="P91" i="19"/>
  <c r="Q91" i="19"/>
  <c r="R91" i="19"/>
  <c r="T91" i="19"/>
  <c r="V91" i="19"/>
  <c r="X91" i="19"/>
  <c r="Z91" i="19"/>
  <c r="AC91" i="19"/>
  <c r="AD91" i="19"/>
  <c r="F92" i="19"/>
  <c r="G92" i="19"/>
  <c r="H92" i="19"/>
  <c r="I92" i="19"/>
  <c r="J92" i="19"/>
  <c r="K92" i="19"/>
  <c r="L92" i="19"/>
  <c r="N92" i="19"/>
  <c r="P92" i="19"/>
  <c r="Q92" i="19"/>
  <c r="R92" i="19"/>
  <c r="T92" i="19"/>
  <c r="V92" i="19"/>
  <c r="W92" i="19"/>
  <c r="X92" i="19"/>
  <c r="Z92" i="19"/>
  <c r="AC92" i="19"/>
  <c r="AD92" i="19"/>
  <c r="F72" i="19"/>
  <c r="G72" i="19"/>
  <c r="H72" i="19"/>
  <c r="I72" i="19"/>
  <c r="J72" i="19"/>
  <c r="K72" i="19"/>
  <c r="L72" i="19"/>
  <c r="P72" i="19"/>
  <c r="Q72" i="19"/>
  <c r="R72" i="19"/>
  <c r="S72" i="19"/>
  <c r="T72" i="19"/>
  <c r="V72" i="19"/>
  <c r="W72" i="19"/>
  <c r="X72" i="19"/>
  <c r="Z72" i="19"/>
  <c r="AC72" i="19"/>
  <c r="AD72" i="19"/>
  <c r="F73" i="19"/>
  <c r="G73" i="19"/>
  <c r="H73" i="19"/>
  <c r="I73" i="19"/>
  <c r="J73" i="19"/>
  <c r="K73" i="19"/>
  <c r="L73" i="19"/>
  <c r="P73" i="19"/>
  <c r="Q73" i="19"/>
  <c r="R73" i="19"/>
  <c r="S73" i="19"/>
  <c r="V73" i="19"/>
  <c r="W73" i="19"/>
  <c r="X73" i="19"/>
  <c r="Z73" i="19"/>
  <c r="AC73" i="19"/>
  <c r="AD73" i="19"/>
  <c r="F74" i="19"/>
  <c r="G74" i="19"/>
  <c r="H74" i="19"/>
  <c r="I74" i="19"/>
  <c r="J74" i="19"/>
  <c r="K74" i="19"/>
  <c r="L74" i="19"/>
  <c r="N74" i="19"/>
  <c r="P74" i="19"/>
  <c r="Q74" i="19"/>
  <c r="R74" i="19"/>
  <c r="S74" i="19"/>
  <c r="V74" i="19"/>
  <c r="W74" i="19"/>
  <c r="X74" i="19"/>
  <c r="Z74" i="19"/>
  <c r="AC74" i="19"/>
  <c r="AD74" i="19"/>
  <c r="F75" i="19"/>
  <c r="G75" i="19"/>
  <c r="H75" i="19"/>
  <c r="I75" i="19"/>
  <c r="J75" i="19"/>
  <c r="K75" i="19"/>
  <c r="L75" i="19"/>
  <c r="P75" i="19"/>
  <c r="Q75" i="19"/>
  <c r="R75" i="19"/>
  <c r="S75" i="19"/>
  <c r="T75" i="19"/>
  <c r="V75" i="19"/>
  <c r="W75" i="19"/>
  <c r="X75" i="19"/>
  <c r="Z75" i="19"/>
  <c r="AC75" i="19"/>
  <c r="AD75" i="19"/>
  <c r="F76" i="19"/>
  <c r="G76" i="19"/>
  <c r="H76" i="19"/>
  <c r="I76" i="19"/>
  <c r="J76" i="19"/>
  <c r="K76" i="19"/>
  <c r="L76" i="19"/>
  <c r="N76" i="19"/>
  <c r="P76" i="19"/>
  <c r="Q76" i="19"/>
  <c r="R76" i="19"/>
  <c r="T76" i="19"/>
  <c r="V76" i="19"/>
  <c r="W76" i="19"/>
  <c r="X76" i="19"/>
  <c r="Z76" i="19"/>
  <c r="AC76" i="19"/>
  <c r="AD76" i="19"/>
  <c r="F62" i="19"/>
  <c r="G62" i="19"/>
  <c r="H62" i="19"/>
  <c r="I62" i="19"/>
  <c r="J62" i="19"/>
  <c r="K62" i="19"/>
  <c r="L62" i="19"/>
  <c r="N62" i="19"/>
  <c r="P62" i="19"/>
  <c r="Q62" i="19"/>
  <c r="R62" i="19"/>
  <c r="S62" i="19"/>
  <c r="T62" i="19"/>
  <c r="V62" i="19"/>
  <c r="W62" i="19"/>
  <c r="X62" i="19"/>
  <c r="Z62" i="19"/>
  <c r="AC62" i="19"/>
  <c r="AD62" i="19"/>
  <c r="F63" i="19"/>
  <c r="G63" i="19"/>
  <c r="H63" i="19"/>
  <c r="I63" i="19"/>
  <c r="J63" i="19"/>
  <c r="K63" i="19"/>
  <c r="L63" i="19"/>
  <c r="P63" i="19"/>
  <c r="Q63" i="19"/>
  <c r="R63" i="19"/>
  <c r="S63" i="19"/>
  <c r="T63" i="19"/>
  <c r="V63" i="19"/>
  <c r="Z63" i="19"/>
  <c r="AC63" i="19"/>
  <c r="AD63" i="19"/>
  <c r="F64" i="19"/>
  <c r="G64" i="19"/>
  <c r="H64" i="19"/>
  <c r="I64" i="19"/>
  <c r="J64" i="19"/>
  <c r="K64" i="19"/>
  <c r="L64" i="19"/>
  <c r="P64" i="19"/>
  <c r="Q64" i="19"/>
  <c r="R64" i="19"/>
  <c r="T64" i="19"/>
  <c r="V64" i="19"/>
  <c r="W64" i="19"/>
  <c r="X64" i="19"/>
  <c r="Z64" i="19"/>
  <c r="AC64" i="19"/>
  <c r="AD64" i="19"/>
  <c r="F65" i="19"/>
  <c r="G65" i="19"/>
  <c r="H65" i="19"/>
  <c r="I65" i="19"/>
  <c r="J65" i="19"/>
  <c r="K65" i="19"/>
  <c r="L65" i="19"/>
  <c r="P65" i="19"/>
  <c r="Q65" i="19"/>
  <c r="R65" i="19"/>
  <c r="T65" i="19"/>
  <c r="V65" i="19"/>
  <c r="W65" i="19"/>
  <c r="X65" i="19"/>
  <c r="Z65" i="19"/>
  <c r="AC65" i="19"/>
  <c r="AD65" i="19"/>
  <c r="F66" i="19"/>
  <c r="G66" i="19"/>
  <c r="H66" i="19"/>
  <c r="I66" i="19"/>
  <c r="J66" i="19"/>
  <c r="K66" i="19"/>
  <c r="L66" i="19"/>
  <c r="P66" i="19"/>
  <c r="Q66" i="19"/>
  <c r="R66" i="19"/>
  <c r="S66" i="19"/>
  <c r="T66" i="19"/>
  <c r="V66" i="19"/>
  <c r="W66" i="19"/>
  <c r="X66" i="19"/>
  <c r="Z66" i="19"/>
  <c r="AC66" i="19"/>
  <c r="AD66" i="19"/>
  <c r="F67" i="19"/>
  <c r="G67" i="19"/>
  <c r="H67" i="19"/>
  <c r="I67" i="19"/>
  <c r="J67" i="19"/>
  <c r="K67" i="19"/>
  <c r="L67" i="19"/>
  <c r="N67" i="19"/>
  <c r="P67" i="19"/>
  <c r="Q67" i="19"/>
  <c r="R67" i="19"/>
  <c r="S67" i="19"/>
  <c r="T67" i="19"/>
  <c r="V67" i="19"/>
  <c r="W67" i="19"/>
  <c r="X67" i="19"/>
  <c r="AC67" i="19"/>
  <c r="AD67" i="19"/>
  <c r="F68" i="19"/>
  <c r="G68" i="19"/>
  <c r="H68" i="19"/>
  <c r="I68" i="19"/>
  <c r="J68" i="19"/>
  <c r="K68" i="19"/>
  <c r="L68" i="19"/>
  <c r="N68" i="19"/>
  <c r="P68" i="19"/>
  <c r="Q68" i="19"/>
  <c r="R68" i="19"/>
  <c r="S68" i="19"/>
  <c r="T68" i="19"/>
  <c r="V68" i="19"/>
  <c r="W68" i="19"/>
  <c r="X68" i="19"/>
  <c r="AC68" i="19"/>
  <c r="AD68" i="19"/>
  <c r="F69" i="19"/>
  <c r="G69" i="19"/>
  <c r="H69" i="19"/>
  <c r="I69" i="19"/>
  <c r="J69" i="19"/>
  <c r="K69" i="19"/>
  <c r="L69" i="19"/>
  <c r="N69" i="19"/>
  <c r="P69" i="19"/>
  <c r="Q69" i="19"/>
  <c r="R69" i="19"/>
  <c r="S69" i="19"/>
  <c r="T69" i="19"/>
  <c r="V69" i="19"/>
  <c r="W69" i="19"/>
  <c r="X69" i="19"/>
  <c r="AC69" i="19"/>
  <c r="AD69" i="19"/>
  <c r="F70" i="19"/>
  <c r="G70" i="19"/>
  <c r="H70" i="19"/>
  <c r="I70" i="19"/>
  <c r="J70" i="19"/>
  <c r="K70" i="19"/>
  <c r="L70" i="19"/>
  <c r="P70" i="19"/>
  <c r="Q70" i="19"/>
  <c r="R70" i="19"/>
  <c r="S70" i="19"/>
  <c r="T70" i="19"/>
  <c r="V70" i="19"/>
  <c r="W70" i="19"/>
  <c r="X70" i="19"/>
  <c r="Z70" i="19"/>
  <c r="AC70" i="19"/>
  <c r="AD70" i="19"/>
  <c r="F71" i="19"/>
  <c r="G71" i="19"/>
  <c r="H71" i="19"/>
  <c r="I71" i="19"/>
  <c r="J71" i="19"/>
  <c r="K71" i="19"/>
  <c r="L71" i="19"/>
  <c r="P71" i="19"/>
  <c r="Q71" i="19"/>
  <c r="R71" i="19"/>
  <c r="S71" i="19"/>
  <c r="T71" i="19"/>
  <c r="V71" i="19"/>
  <c r="W71" i="19"/>
  <c r="X71" i="19"/>
  <c r="Z71" i="19"/>
  <c r="AC71" i="19"/>
  <c r="AD71" i="19"/>
  <c r="F56" i="19"/>
  <c r="G56" i="19"/>
  <c r="H56" i="19"/>
  <c r="I56" i="19"/>
  <c r="J56" i="19"/>
  <c r="K56" i="19"/>
  <c r="L56" i="19"/>
  <c r="N56" i="19"/>
  <c r="P56" i="19"/>
  <c r="Q56" i="19"/>
  <c r="R56" i="19"/>
  <c r="S56" i="19"/>
  <c r="T56" i="19"/>
  <c r="V56" i="19"/>
  <c r="W56" i="19"/>
  <c r="X56" i="19"/>
  <c r="Z56" i="19"/>
  <c r="AC56" i="19"/>
  <c r="AD56" i="19"/>
  <c r="F57" i="19"/>
  <c r="G57" i="19"/>
  <c r="H57" i="19"/>
  <c r="I57" i="19"/>
  <c r="J57" i="19"/>
  <c r="K57" i="19"/>
  <c r="L57" i="19"/>
  <c r="N57" i="19"/>
  <c r="P57" i="19"/>
  <c r="Q57" i="19"/>
  <c r="R57" i="19"/>
  <c r="S57" i="19"/>
  <c r="T57" i="19"/>
  <c r="V57" i="19"/>
  <c r="W57" i="19"/>
  <c r="X57" i="19"/>
  <c r="Z57" i="19"/>
  <c r="AC57" i="19"/>
  <c r="AD57" i="19"/>
  <c r="F58" i="19"/>
  <c r="G58" i="19"/>
  <c r="H58" i="19"/>
  <c r="I58" i="19"/>
  <c r="J58" i="19"/>
  <c r="K58" i="19"/>
  <c r="L58" i="19"/>
  <c r="N58" i="19"/>
  <c r="P58" i="19"/>
  <c r="Q58" i="19"/>
  <c r="R58" i="19"/>
  <c r="S58" i="19"/>
  <c r="T58" i="19"/>
  <c r="V58" i="19"/>
  <c r="W58" i="19"/>
  <c r="X58" i="19"/>
  <c r="Z58" i="19"/>
  <c r="AC58" i="19"/>
  <c r="AD58" i="19"/>
  <c r="F59" i="19"/>
  <c r="G59" i="19"/>
  <c r="H59" i="19"/>
  <c r="I59" i="19"/>
  <c r="J59" i="19"/>
  <c r="K59" i="19"/>
  <c r="L59" i="19"/>
  <c r="P59" i="19"/>
  <c r="Q59" i="19"/>
  <c r="R59" i="19"/>
  <c r="S59" i="19"/>
  <c r="T59" i="19"/>
  <c r="V59" i="19"/>
  <c r="W59" i="19"/>
  <c r="X59" i="19"/>
  <c r="Z59" i="19"/>
  <c r="AC59" i="19"/>
  <c r="AD59" i="19"/>
  <c r="F60" i="19"/>
  <c r="G60" i="19"/>
  <c r="H60" i="19"/>
  <c r="I60" i="19"/>
  <c r="J60" i="19"/>
  <c r="K60" i="19"/>
  <c r="L60" i="19"/>
  <c r="P60" i="19"/>
  <c r="Q60" i="19"/>
  <c r="R60" i="19"/>
  <c r="S60" i="19"/>
  <c r="T60" i="19"/>
  <c r="V60" i="19"/>
  <c r="W60" i="19"/>
  <c r="X60" i="19"/>
  <c r="Z60" i="19"/>
  <c r="AC60" i="19"/>
  <c r="AD60" i="19"/>
  <c r="F61" i="19"/>
  <c r="G61" i="19"/>
  <c r="H61" i="19"/>
  <c r="I61" i="19"/>
  <c r="J61" i="19"/>
  <c r="K61" i="19"/>
  <c r="L61" i="19"/>
  <c r="P61" i="19"/>
  <c r="Q61" i="19"/>
  <c r="R61" i="19"/>
  <c r="T61" i="19"/>
  <c r="V61" i="19"/>
  <c r="W61" i="19"/>
  <c r="X61" i="19"/>
  <c r="Z61" i="19"/>
  <c r="AC61" i="19"/>
  <c r="AD61" i="19"/>
  <c r="F54" i="19"/>
  <c r="G54" i="19"/>
  <c r="H54" i="19"/>
  <c r="I54" i="19"/>
  <c r="J54" i="19"/>
  <c r="K54" i="19"/>
  <c r="L54" i="19"/>
  <c r="N54" i="19"/>
  <c r="P54" i="19"/>
  <c r="Q54" i="19"/>
  <c r="R54" i="19"/>
  <c r="S54" i="19"/>
  <c r="T54" i="19"/>
  <c r="V54" i="19"/>
  <c r="X54" i="19"/>
  <c r="Z54" i="19"/>
  <c r="AC54" i="19"/>
  <c r="AD54" i="19"/>
  <c r="F55" i="19"/>
  <c r="G55" i="19"/>
  <c r="H55" i="19"/>
  <c r="I55" i="19"/>
  <c r="J55" i="19"/>
  <c r="K55" i="19"/>
  <c r="L55" i="19"/>
  <c r="N55" i="19"/>
  <c r="P55" i="19"/>
  <c r="Q55" i="19"/>
  <c r="R55" i="19"/>
  <c r="S55" i="19"/>
  <c r="T55" i="19"/>
  <c r="V55" i="19"/>
  <c r="W55" i="19"/>
  <c r="X55" i="19"/>
  <c r="Z55" i="19"/>
  <c r="AC55" i="19"/>
  <c r="AD55" i="19"/>
  <c r="F52" i="19"/>
  <c r="G52" i="19"/>
  <c r="H52" i="19"/>
  <c r="I52" i="19"/>
  <c r="J52" i="19"/>
  <c r="K52" i="19"/>
  <c r="L52" i="19"/>
  <c r="N52" i="19"/>
  <c r="P52" i="19"/>
  <c r="Q52" i="19"/>
  <c r="R52" i="19"/>
  <c r="T52" i="19"/>
  <c r="V52" i="19"/>
  <c r="W52" i="19"/>
  <c r="X52" i="19"/>
  <c r="Z52" i="19"/>
  <c r="AC52" i="19"/>
  <c r="AD52" i="19"/>
  <c r="F53" i="19"/>
  <c r="G53" i="19"/>
  <c r="H53" i="19"/>
  <c r="I53" i="19"/>
  <c r="J53" i="19"/>
  <c r="K53" i="19"/>
  <c r="L53" i="19"/>
  <c r="P53" i="19"/>
  <c r="Q53" i="19"/>
  <c r="R53" i="19"/>
  <c r="S53" i="19"/>
  <c r="T53" i="19"/>
  <c r="V53" i="19"/>
  <c r="W53" i="19"/>
  <c r="X53" i="19"/>
  <c r="Z53" i="19"/>
  <c r="AC53" i="19"/>
  <c r="AD53" i="19"/>
  <c r="F46" i="19"/>
  <c r="G46" i="19"/>
  <c r="H46" i="19"/>
  <c r="I46" i="19"/>
  <c r="J46" i="19"/>
  <c r="K46" i="19"/>
  <c r="L46" i="19"/>
  <c r="N46" i="19"/>
  <c r="P46" i="19"/>
  <c r="Q46" i="19"/>
  <c r="R46" i="19"/>
  <c r="T46" i="19"/>
  <c r="V46" i="19"/>
  <c r="X46" i="19"/>
  <c r="Z46" i="19"/>
  <c r="AC46" i="19"/>
  <c r="AD46" i="19"/>
  <c r="F47" i="19"/>
  <c r="G47" i="19"/>
  <c r="H47" i="19"/>
  <c r="I47" i="19"/>
  <c r="J47" i="19"/>
  <c r="K47" i="19"/>
  <c r="L47" i="19"/>
  <c r="P47" i="19"/>
  <c r="Q47" i="19"/>
  <c r="R47" i="19"/>
  <c r="S47" i="19"/>
  <c r="T47" i="19"/>
  <c r="V47" i="19"/>
  <c r="W47" i="19"/>
  <c r="X47" i="19"/>
  <c r="Z47" i="19"/>
  <c r="AC47" i="19"/>
  <c r="AD47" i="19"/>
  <c r="F48" i="19"/>
  <c r="G48" i="19"/>
  <c r="H48" i="19"/>
  <c r="I48" i="19"/>
  <c r="J48" i="19"/>
  <c r="K48" i="19"/>
  <c r="L48" i="19"/>
  <c r="N48" i="19"/>
  <c r="P48" i="19"/>
  <c r="Q48" i="19"/>
  <c r="R48" i="19"/>
  <c r="S48" i="19"/>
  <c r="T48" i="19"/>
  <c r="V48" i="19"/>
  <c r="W48" i="19"/>
  <c r="X48" i="19"/>
  <c r="Z48" i="19"/>
  <c r="AC48" i="19"/>
  <c r="AD48" i="19"/>
  <c r="F49" i="19"/>
  <c r="G49" i="19"/>
  <c r="H49" i="19"/>
  <c r="I49" i="19"/>
  <c r="J49" i="19"/>
  <c r="K49" i="19"/>
  <c r="L49" i="19"/>
  <c r="N49" i="19"/>
  <c r="P49" i="19"/>
  <c r="Q49" i="19"/>
  <c r="R49" i="19"/>
  <c r="S49" i="19"/>
  <c r="T49" i="19"/>
  <c r="U49" i="19"/>
  <c r="V49" i="19"/>
  <c r="W49" i="19"/>
  <c r="X49" i="19"/>
  <c r="Y49" i="19"/>
  <c r="AC49" i="19"/>
  <c r="AD49" i="19"/>
  <c r="F50" i="19"/>
  <c r="G50" i="19"/>
  <c r="H50" i="19"/>
  <c r="I50" i="19"/>
  <c r="J50" i="19"/>
  <c r="K50" i="19"/>
  <c r="L50" i="19"/>
  <c r="N50" i="19"/>
  <c r="P50" i="19"/>
  <c r="Q50" i="19"/>
  <c r="R50" i="19"/>
  <c r="S50" i="19"/>
  <c r="T50" i="19"/>
  <c r="V50" i="19"/>
  <c r="W50" i="19"/>
  <c r="X50" i="19"/>
  <c r="Z50" i="19"/>
  <c r="AC50" i="19"/>
  <c r="AD50" i="19"/>
  <c r="F51" i="19"/>
  <c r="G51" i="19"/>
  <c r="H51" i="19"/>
  <c r="I51" i="19"/>
  <c r="J51" i="19"/>
  <c r="K51" i="19"/>
  <c r="L51" i="19"/>
  <c r="N51" i="19"/>
  <c r="P51" i="19"/>
  <c r="Q51" i="19"/>
  <c r="R51" i="19"/>
  <c r="S51" i="19"/>
  <c r="T51" i="19"/>
  <c r="V51" i="19"/>
  <c r="W51" i="19"/>
  <c r="X51" i="19"/>
  <c r="Z51" i="19"/>
  <c r="AC51" i="19"/>
  <c r="AD51" i="19"/>
  <c r="F44" i="19"/>
  <c r="G44" i="19"/>
  <c r="H44" i="19"/>
  <c r="I44" i="19"/>
  <c r="J44" i="19"/>
  <c r="K44" i="19"/>
  <c r="L44" i="19"/>
  <c r="N44" i="19"/>
  <c r="P44" i="19"/>
  <c r="Q44" i="19"/>
  <c r="R44" i="19"/>
  <c r="T44" i="19"/>
  <c r="V44" i="19"/>
  <c r="X44" i="19"/>
  <c r="Z44" i="19"/>
  <c r="AC44" i="19"/>
  <c r="AD44" i="19"/>
  <c r="F45" i="19"/>
  <c r="G45" i="19"/>
  <c r="H45" i="19"/>
  <c r="I45" i="19"/>
  <c r="J45" i="19"/>
  <c r="K45" i="19"/>
  <c r="L45" i="19"/>
  <c r="N45" i="19"/>
  <c r="P45" i="19"/>
  <c r="Q45" i="19"/>
  <c r="R45" i="19"/>
  <c r="S45" i="19"/>
  <c r="T45" i="19"/>
  <c r="V45" i="19"/>
  <c r="W45" i="19"/>
  <c r="X45" i="19"/>
  <c r="Z45" i="19"/>
  <c r="AC45" i="19"/>
  <c r="AD45" i="19"/>
  <c r="F38" i="19"/>
  <c r="G38" i="19"/>
  <c r="H38" i="19"/>
  <c r="I38" i="19"/>
  <c r="J38" i="19"/>
  <c r="K38" i="19"/>
  <c r="L38" i="19"/>
  <c r="N38" i="19"/>
  <c r="P38" i="19"/>
  <c r="Q38" i="19"/>
  <c r="R38" i="19"/>
  <c r="T38" i="19"/>
  <c r="V38" i="19"/>
  <c r="X38" i="19"/>
  <c r="Z38" i="19"/>
  <c r="AC38" i="19"/>
  <c r="AD38" i="19"/>
  <c r="F39" i="19"/>
  <c r="G39" i="19"/>
  <c r="H39" i="19"/>
  <c r="I39" i="19"/>
  <c r="J39" i="19"/>
  <c r="K39" i="19"/>
  <c r="L39" i="19"/>
  <c r="N39" i="19"/>
  <c r="P39" i="19"/>
  <c r="Q39" i="19"/>
  <c r="R39" i="19"/>
  <c r="T39" i="19"/>
  <c r="V39" i="19"/>
  <c r="X39" i="19"/>
  <c r="Z39" i="19"/>
  <c r="AC39" i="19"/>
  <c r="AD39" i="19"/>
  <c r="F40" i="19"/>
  <c r="G40" i="19"/>
  <c r="H40" i="19"/>
  <c r="I40" i="19"/>
  <c r="J40" i="19"/>
  <c r="K40" i="19"/>
  <c r="L40" i="19"/>
  <c r="N40" i="19"/>
  <c r="P40" i="19"/>
  <c r="Q40" i="19"/>
  <c r="R40" i="19"/>
  <c r="S40" i="19"/>
  <c r="T40" i="19"/>
  <c r="V40" i="19"/>
  <c r="W40" i="19"/>
  <c r="X40" i="19"/>
  <c r="Z40" i="19"/>
  <c r="AC40" i="19"/>
  <c r="AD40" i="19"/>
  <c r="F41" i="19"/>
  <c r="G41" i="19"/>
  <c r="H41" i="19"/>
  <c r="I41" i="19"/>
  <c r="J41" i="19"/>
  <c r="K41" i="19"/>
  <c r="L41" i="19"/>
  <c r="N41" i="19"/>
  <c r="P41" i="19"/>
  <c r="Q41" i="19"/>
  <c r="R41" i="19"/>
  <c r="S41" i="19"/>
  <c r="T41" i="19"/>
  <c r="V41" i="19"/>
  <c r="W41" i="19"/>
  <c r="X41" i="19"/>
  <c r="Z41" i="19"/>
  <c r="AC41" i="19"/>
  <c r="AD41" i="19"/>
  <c r="F42" i="19"/>
  <c r="G42" i="19"/>
  <c r="H42" i="19"/>
  <c r="I42" i="19"/>
  <c r="J42" i="19"/>
  <c r="K42" i="19"/>
  <c r="L42" i="19"/>
  <c r="N42" i="19"/>
  <c r="P42" i="19"/>
  <c r="Q42" i="19"/>
  <c r="R42" i="19"/>
  <c r="S42" i="19"/>
  <c r="T42" i="19"/>
  <c r="V42" i="19"/>
  <c r="W42" i="19"/>
  <c r="X42" i="19"/>
  <c r="Z42" i="19"/>
  <c r="AC42" i="19"/>
  <c r="AD42" i="19"/>
  <c r="F43" i="19"/>
  <c r="G43" i="19"/>
  <c r="H43" i="19"/>
  <c r="I43" i="19"/>
  <c r="J43" i="19"/>
  <c r="K43" i="19"/>
  <c r="L43" i="19"/>
  <c r="N43" i="19"/>
  <c r="P43" i="19"/>
  <c r="Q43" i="19"/>
  <c r="R43" i="19"/>
  <c r="S43" i="19"/>
  <c r="T43" i="19"/>
  <c r="V43" i="19"/>
  <c r="W43" i="19"/>
  <c r="X43" i="19"/>
  <c r="Y43" i="19"/>
  <c r="AC43" i="19"/>
  <c r="AD43" i="19"/>
  <c r="F37" i="19"/>
  <c r="G37" i="19"/>
  <c r="H37" i="19"/>
  <c r="I37" i="19"/>
  <c r="J37" i="19"/>
  <c r="K37" i="19"/>
  <c r="L37" i="19"/>
  <c r="N37" i="19"/>
  <c r="P37" i="19"/>
  <c r="Q37" i="19"/>
  <c r="R37" i="19"/>
  <c r="S37" i="19"/>
  <c r="V37" i="19"/>
  <c r="W37" i="19"/>
  <c r="AC37" i="19"/>
  <c r="AD37" i="19"/>
  <c r="F30" i="19"/>
  <c r="G30" i="19"/>
  <c r="H30" i="19"/>
  <c r="I30" i="19"/>
  <c r="J30" i="19"/>
  <c r="K30" i="19"/>
  <c r="L30" i="19"/>
  <c r="P30" i="19"/>
  <c r="Q30" i="19"/>
  <c r="R30" i="19"/>
  <c r="S30" i="19"/>
  <c r="T30" i="19"/>
  <c r="V30" i="19"/>
  <c r="W30" i="19"/>
  <c r="AC30" i="19"/>
  <c r="AD30" i="19"/>
  <c r="F31" i="19"/>
  <c r="G31" i="19"/>
  <c r="H31" i="19"/>
  <c r="I31" i="19"/>
  <c r="J31" i="19"/>
  <c r="K31" i="19"/>
  <c r="L31" i="19"/>
  <c r="P31" i="19"/>
  <c r="Q31" i="19"/>
  <c r="R31" i="19"/>
  <c r="S31" i="19"/>
  <c r="T31" i="19"/>
  <c r="V31" i="19"/>
  <c r="W31" i="19"/>
  <c r="AC31" i="19"/>
  <c r="AD31" i="19"/>
  <c r="F32" i="19"/>
  <c r="G32" i="19"/>
  <c r="H32" i="19"/>
  <c r="I32" i="19"/>
  <c r="J32" i="19"/>
  <c r="K32" i="19"/>
  <c r="L32" i="19"/>
  <c r="P32" i="19"/>
  <c r="Q32" i="19"/>
  <c r="R32" i="19"/>
  <c r="S32" i="19"/>
  <c r="T32" i="19"/>
  <c r="V32" i="19"/>
  <c r="W32" i="19"/>
  <c r="AC32" i="19"/>
  <c r="AD32" i="19"/>
  <c r="F33" i="19"/>
  <c r="G33" i="19"/>
  <c r="H33" i="19"/>
  <c r="I33" i="19"/>
  <c r="J33" i="19"/>
  <c r="K33" i="19"/>
  <c r="L33" i="19"/>
  <c r="P33" i="19"/>
  <c r="Q33" i="19"/>
  <c r="R33" i="19"/>
  <c r="S33" i="19"/>
  <c r="T33" i="19"/>
  <c r="V33" i="19"/>
  <c r="W33" i="19"/>
  <c r="Z33" i="19"/>
  <c r="AC33" i="19"/>
  <c r="AD33" i="19"/>
  <c r="F34" i="19"/>
  <c r="G34" i="19"/>
  <c r="H34" i="19"/>
  <c r="I34" i="19"/>
  <c r="J34" i="19"/>
  <c r="K34" i="19"/>
  <c r="L34" i="19"/>
  <c r="P34" i="19"/>
  <c r="Q34" i="19"/>
  <c r="R34" i="19"/>
  <c r="S34" i="19"/>
  <c r="T34" i="19"/>
  <c r="V34" i="19"/>
  <c r="W34" i="19"/>
  <c r="X34" i="19"/>
  <c r="Z34" i="19"/>
  <c r="AC34" i="19"/>
  <c r="AD34" i="19"/>
  <c r="F35" i="19"/>
  <c r="G35" i="19"/>
  <c r="H35" i="19"/>
  <c r="I35" i="19"/>
  <c r="J35" i="19"/>
  <c r="K35" i="19"/>
  <c r="L35" i="19"/>
  <c r="P35" i="19"/>
  <c r="Q35" i="19"/>
  <c r="R35" i="19"/>
  <c r="S35" i="19"/>
  <c r="T35" i="19"/>
  <c r="V35" i="19"/>
  <c r="W35" i="19"/>
  <c r="X35" i="19"/>
  <c r="Z35" i="19"/>
  <c r="AC35" i="19"/>
  <c r="AD35" i="19"/>
  <c r="F36" i="19"/>
  <c r="G36" i="19"/>
  <c r="H36" i="19"/>
  <c r="I36" i="19"/>
  <c r="J36" i="19"/>
  <c r="K36" i="19"/>
  <c r="L36" i="19"/>
  <c r="N36" i="19"/>
  <c r="P36" i="19"/>
  <c r="Q36" i="19"/>
  <c r="R36" i="19"/>
  <c r="S36" i="19"/>
  <c r="T36" i="19"/>
  <c r="V36" i="19"/>
  <c r="W36" i="19"/>
  <c r="X36" i="19"/>
  <c r="AC36" i="19"/>
  <c r="AD36" i="19"/>
  <c r="F8" i="19"/>
  <c r="H8" i="19"/>
  <c r="I8" i="19"/>
  <c r="J8" i="19"/>
  <c r="K8" i="19"/>
  <c r="L8" i="19"/>
  <c r="N8" i="19"/>
  <c r="P8" i="19"/>
  <c r="Q8" i="19"/>
  <c r="R8" i="19"/>
  <c r="S8" i="19"/>
  <c r="T8" i="19"/>
  <c r="V8" i="19"/>
  <c r="W8" i="19"/>
  <c r="X8" i="19"/>
  <c r="Y8" i="19"/>
  <c r="AC8" i="19"/>
  <c r="AD8" i="19"/>
  <c r="F10" i="19"/>
  <c r="G10" i="19"/>
  <c r="H10" i="19"/>
  <c r="I10" i="19"/>
  <c r="J10" i="19"/>
  <c r="K10" i="19"/>
  <c r="L10" i="19"/>
  <c r="N10" i="19"/>
  <c r="P10" i="19"/>
  <c r="Q10" i="19"/>
  <c r="R10" i="19"/>
  <c r="T10" i="19"/>
  <c r="V10" i="19"/>
  <c r="X10" i="19"/>
  <c r="Z10" i="19"/>
  <c r="AC10" i="19"/>
  <c r="AD10" i="19"/>
  <c r="F11" i="19"/>
  <c r="G11" i="19"/>
  <c r="H11" i="19"/>
  <c r="I11" i="19"/>
  <c r="J11" i="19"/>
  <c r="K11" i="19"/>
  <c r="L11" i="19"/>
  <c r="N11" i="19"/>
  <c r="P11" i="19"/>
  <c r="Q11" i="19"/>
  <c r="R11" i="19"/>
  <c r="T11" i="19"/>
  <c r="V11" i="19"/>
  <c r="X11" i="19"/>
  <c r="Z11" i="19"/>
  <c r="AC11" i="19"/>
  <c r="AD11" i="19"/>
  <c r="F12" i="19"/>
  <c r="G12" i="19"/>
  <c r="H12" i="19"/>
  <c r="I12" i="19"/>
  <c r="J12" i="19"/>
  <c r="K12" i="19"/>
  <c r="L12" i="19"/>
  <c r="N12" i="19"/>
  <c r="P12" i="19"/>
  <c r="Q12" i="19"/>
  <c r="R12" i="19"/>
  <c r="S12" i="19"/>
  <c r="T12" i="19"/>
  <c r="V12" i="19"/>
  <c r="X12" i="19"/>
  <c r="Z12" i="19"/>
  <c r="AC12" i="19"/>
  <c r="AD12" i="19"/>
  <c r="F13" i="19"/>
  <c r="G13" i="19"/>
  <c r="H13" i="19"/>
  <c r="I13" i="19"/>
  <c r="J13" i="19"/>
  <c r="K13" i="19"/>
  <c r="L13" i="19"/>
  <c r="N13" i="19"/>
  <c r="P13" i="19"/>
  <c r="Q13" i="19"/>
  <c r="R13" i="19"/>
  <c r="T13" i="19"/>
  <c r="V13" i="19"/>
  <c r="W13" i="19"/>
  <c r="X13" i="19"/>
  <c r="Z13" i="19"/>
  <c r="AC13" i="19"/>
  <c r="AD13" i="19"/>
  <c r="F14" i="19"/>
  <c r="G14" i="19"/>
  <c r="H14" i="19"/>
  <c r="I14" i="19"/>
  <c r="J14" i="19"/>
  <c r="K14" i="19"/>
  <c r="L14" i="19"/>
  <c r="N14" i="19"/>
  <c r="P14" i="19"/>
  <c r="Q14" i="19"/>
  <c r="R14" i="19"/>
  <c r="S14" i="19"/>
  <c r="T14" i="19"/>
  <c r="V14" i="19"/>
  <c r="W14" i="19"/>
  <c r="X14" i="19"/>
  <c r="AC14" i="19"/>
  <c r="AD14" i="19"/>
  <c r="F15" i="19"/>
  <c r="G15" i="19"/>
  <c r="H15" i="19"/>
  <c r="I15" i="19"/>
  <c r="J15" i="19"/>
  <c r="K15" i="19"/>
  <c r="L15" i="19"/>
  <c r="N15" i="19"/>
  <c r="P15" i="19"/>
  <c r="Q15" i="19"/>
  <c r="R15" i="19"/>
  <c r="T15" i="19"/>
  <c r="V15" i="19"/>
  <c r="Z15" i="19"/>
  <c r="AC15" i="19"/>
  <c r="AD15" i="19"/>
  <c r="F23" i="19"/>
  <c r="G23" i="19"/>
  <c r="H23" i="19"/>
  <c r="I23" i="19"/>
  <c r="J23" i="19"/>
  <c r="K23" i="19"/>
  <c r="L23" i="19"/>
  <c r="P23" i="19"/>
  <c r="Q23" i="19"/>
  <c r="R23" i="19"/>
  <c r="S23" i="19"/>
  <c r="T23" i="19"/>
  <c r="V23" i="19"/>
  <c r="W23" i="19"/>
  <c r="X23" i="19"/>
  <c r="Z23" i="19"/>
  <c r="AC23" i="19"/>
  <c r="AD23" i="19"/>
  <c r="F24" i="19"/>
  <c r="G24" i="19"/>
  <c r="H24" i="19"/>
  <c r="I24" i="19"/>
  <c r="J24" i="19"/>
  <c r="K24" i="19"/>
  <c r="L24" i="19"/>
  <c r="N24" i="19"/>
  <c r="P24" i="19"/>
  <c r="Q24" i="19"/>
  <c r="R24" i="19"/>
  <c r="S24" i="19"/>
  <c r="T24" i="19"/>
  <c r="V24" i="19"/>
  <c r="W24" i="19"/>
  <c r="Z24" i="19"/>
  <c r="AC24" i="19"/>
  <c r="AD24" i="19"/>
  <c r="F25" i="19"/>
  <c r="G25" i="19"/>
  <c r="H25" i="19"/>
  <c r="I25" i="19"/>
  <c r="J25" i="19"/>
  <c r="K25" i="19"/>
  <c r="L25" i="19"/>
  <c r="N25" i="19"/>
  <c r="P25" i="19"/>
  <c r="Q25" i="19"/>
  <c r="R25" i="19"/>
  <c r="S25" i="19"/>
  <c r="T25" i="19"/>
  <c r="V25" i="19"/>
  <c r="W25" i="19"/>
  <c r="Z25" i="19"/>
  <c r="AC25" i="19"/>
  <c r="AD25" i="19"/>
  <c r="F26" i="19"/>
  <c r="G26" i="19"/>
  <c r="H26" i="19"/>
  <c r="I26" i="19"/>
  <c r="J26" i="19"/>
  <c r="K26" i="19"/>
  <c r="L26" i="19"/>
  <c r="N26" i="19"/>
  <c r="P26" i="19"/>
  <c r="Q26" i="19"/>
  <c r="R26" i="19"/>
  <c r="S26" i="19"/>
  <c r="T26" i="19"/>
  <c r="V26" i="19"/>
  <c r="W26" i="19"/>
  <c r="X26" i="19"/>
  <c r="Z26" i="19"/>
  <c r="AC26" i="19"/>
  <c r="AD26" i="19"/>
  <c r="F27" i="19"/>
  <c r="G27" i="19"/>
  <c r="H27" i="19"/>
  <c r="I27" i="19"/>
  <c r="J27" i="19"/>
  <c r="K27" i="19"/>
  <c r="L27" i="19"/>
  <c r="N27" i="19"/>
  <c r="P27" i="19"/>
  <c r="Q27" i="19"/>
  <c r="R27" i="19"/>
  <c r="S27" i="19"/>
  <c r="T27" i="19"/>
  <c r="V27" i="19"/>
  <c r="W27" i="19"/>
  <c r="Z27" i="19"/>
  <c r="AC27" i="19"/>
  <c r="AD27" i="19"/>
  <c r="F28" i="19"/>
  <c r="G28" i="19"/>
  <c r="H28" i="19"/>
  <c r="I28" i="19"/>
  <c r="J28" i="19"/>
  <c r="K28" i="19"/>
  <c r="L28" i="19"/>
  <c r="P28" i="19"/>
  <c r="Q28" i="19"/>
  <c r="R28" i="19"/>
  <c r="S28" i="19"/>
  <c r="T28" i="19"/>
  <c r="V28" i="19"/>
  <c r="W28" i="19"/>
  <c r="X28" i="19"/>
  <c r="Z28" i="19"/>
  <c r="AC28" i="19"/>
  <c r="AD28" i="19"/>
  <c r="F29" i="19"/>
  <c r="G29" i="19"/>
  <c r="H29" i="19"/>
  <c r="I29" i="19"/>
  <c r="J29" i="19"/>
  <c r="K29" i="19"/>
  <c r="L29" i="19"/>
  <c r="N29" i="19"/>
  <c r="P29" i="19"/>
  <c r="Q29" i="19"/>
  <c r="R29" i="19"/>
  <c r="S29" i="19"/>
  <c r="T29" i="19"/>
  <c r="V29" i="19"/>
  <c r="X29" i="19"/>
  <c r="AC29" i="19"/>
  <c r="AD29" i="19"/>
  <c r="F5" i="19"/>
  <c r="G5" i="19"/>
  <c r="H5" i="19"/>
  <c r="I5" i="19"/>
  <c r="J5" i="19"/>
  <c r="K5" i="19"/>
  <c r="L5" i="19"/>
  <c r="N5" i="19"/>
  <c r="P5" i="19"/>
  <c r="Q5" i="19"/>
  <c r="R5" i="19"/>
  <c r="T5" i="19"/>
  <c r="V5" i="19"/>
  <c r="W5" i="19"/>
  <c r="X5" i="19"/>
  <c r="Z5" i="19"/>
  <c r="AC5" i="19"/>
  <c r="AD5" i="19"/>
  <c r="F6" i="19"/>
  <c r="G6" i="19"/>
  <c r="H6" i="19"/>
  <c r="I6" i="19"/>
  <c r="J6" i="19"/>
  <c r="K6" i="19"/>
  <c r="L6" i="19"/>
  <c r="P6" i="19"/>
  <c r="Q6" i="19"/>
  <c r="R6" i="19"/>
  <c r="T6" i="19"/>
  <c r="V6" i="19"/>
  <c r="W6" i="19"/>
  <c r="X6" i="19"/>
  <c r="Z6" i="19"/>
  <c r="AC6" i="19"/>
  <c r="AD6" i="19"/>
  <c r="F7" i="19"/>
  <c r="G7" i="19"/>
  <c r="H7" i="19"/>
  <c r="I7" i="19"/>
  <c r="J7" i="19"/>
  <c r="K7" i="19"/>
  <c r="L7" i="19"/>
  <c r="N7" i="19"/>
  <c r="P7" i="19"/>
  <c r="Q7" i="19"/>
  <c r="R7" i="19"/>
  <c r="S7" i="19"/>
  <c r="T7" i="19"/>
  <c r="V7" i="19"/>
  <c r="W7" i="19"/>
  <c r="X7" i="19"/>
  <c r="Z7" i="19"/>
  <c r="AC7" i="19"/>
  <c r="AD7" i="19"/>
  <c r="F4" i="19"/>
  <c r="G4" i="19"/>
  <c r="H4" i="19"/>
  <c r="I4" i="19"/>
  <c r="J4" i="19"/>
  <c r="K4" i="19"/>
  <c r="L4" i="19"/>
  <c r="N4" i="19"/>
  <c r="P4" i="19"/>
  <c r="Q4" i="19"/>
  <c r="R4" i="19"/>
  <c r="T4" i="19"/>
  <c r="V4" i="19"/>
  <c r="W4" i="19"/>
  <c r="X4" i="19"/>
  <c r="Z4" i="19"/>
  <c r="AC4" i="19"/>
  <c r="AD4" i="19"/>
  <c r="C41" i="19"/>
  <c r="B41" i="19"/>
  <c r="C40" i="19"/>
  <c r="B40" i="19"/>
  <c r="C39" i="19"/>
  <c r="B39" i="19"/>
  <c r="C38" i="19"/>
  <c r="B38" i="19"/>
  <c r="C37" i="19"/>
  <c r="B37" i="19"/>
  <c r="C34" i="19"/>
  <c r="B34" i="19"/>
  <c r="C30" i="19"/>
  <c r="B30" i="19"/>
  <c r="AE29" i="19"/>
  <c r="AE27" i="19"/>
  <c r="AE26" i="19"/>
  <c r="AE25" i="19"/>
  <c r="AE24" i="19"/>
  <c r="AE23" i="19"/>
  <c r="AD3" i="19"/>
  <c r="AC3" i="19"/>
  <c r="Z3" i="19"/>
  <c r="X3" i="19"/>
  <c r="W3" i="19"/>
  <c r="V3" i="19"/>
  <c r="T3" i="19"/>
  <c r="R3" i="19"/>
  <c r="Q3" i="19"/>
  <c r="P3" i="19"/>
  <c r="N3" i="19"/>
  <c r="L3" i="19"/>
  <c r="K3" i="19"/>
  <c r="J3" i="19"/>
  <c r="I3" i="19"/>
  <c r="H3" i="19"/>
  <c r="G3" i="19"/>
  <c r="F3" i="19"/>
  <c r="X24" i="19"/>
  <c r="S115" i="19"/>
  <c r="R96" i="19"/>
  <c r="O23" i="20"/>
  <c r="P43" i="5"/>
  <c r="Q22" i="20" s="1"/>
  <c r="I13" i="27"/>
  <c r="O4" i="20"/>
  <c r="Y84" i="19"/>
  <c r="U43" i="19"/>
  <c r="Y42" i="19"/>
  <c r="Y48" i="19"/>
  <c r="P9" i="5"/>
  <c r="Q13" i="5"/>
  <c r="O13" i="5"/>
  <c r="U2" i="20"/>
  <c r="X79" i="19"/>
  <c r="W29" i="19"/>
  <c r="L34" i="14"/>
  <c r="F40" i="14"/>
  <c r="G40" i="14"/>
  <c r="H40" i="14"/>
  <c r="I40" i="14"/>
  <c r="J40" i="14"/>
  <c r="K40" i="14"/>
  <c r="L40" i="14"/>
  <c r="M40" i="14"/>
  <c r="F34" i="14"/>
  <c r="G34" i="14"/>
  <c r="H34" i="14"/>
  <c r="I34" i="14"/>
  <c r="J34" i="14"/>
  <c r="K34" i="14"/>
  <c r="M34" i="14"/>
  <c r="T68" i="15"/>
  <c r="U68" i="15"/>
  <c r="M112" i="15"/>
  <c r="M91" i="15"/>
  <c r="M64" i="15"/>
  <c r="M63" i="15"/>
  <c r="M56" i="15"/>
  <c r="M51" i="15"/>
  <c r="M39" i="15"/>
  <c r="M100" i="15"/>
  <c r="M92" i="15"/>
  <c r="M86" i="15"/>
  <c r="M80" i="15"/>
  <c r="M67" i="15"/>
  <c r="M65" i="15"/>
  <c r="M62" i="15"/>
  <c r="M58" i="15"/>
  <c r="M57" i="15"/>
  <c r="M55" i="15"/>
  <c r="M52" i="15"/>
  <c r="M50" i="15"/>
  <c r="M44" i="15"/>
  <c r="M28" i="15"/>
  <c r="M27" i="15"/>
  <c r="M26" i="15"/>
  <c r="M25" i="15"/>
  <c r="M24" i="15"/>
  <c r="M23" i="15"/>
  <c r="M21" i="15"/>
  <c r="M16" i="15"/>
  <c r="M6" i="15"/>
  <c r="C38" i="14"/>
  <c r="D38" i="14"/>
  <c r="E38" i="14"/>
  <c r="F38" i="14"/>
  <c r="G38" i="14"/>
  <c r="H38" i="14"/>
  <c r="J38" i="14"/>
  <c r="K38" i="14"/>
  <c r="L38" i="14"/>
  <c r="N38" i="14"/>
  <c r="P38" i="14"/>
  <c r="Q38" i="14"/>
  <c r="R38" i="14"/>
  <c r="S38" i="14"/>
  <c r="C9" i="14"/>
  <c r="D9" i="14"/>
  <c r="E9" i="14"/>
  <c r="F9" i="14"/>
  <c r="G9" i="14"/>
  <c r="H9" i="14"/>
  <c r="I9" i="14"/>
  <c r="J9" i="14"/>
  <c r="K9" i="14"/>
  <c r="L9" i="14"/>
  <c r="N9" i="14"/>
  <c r="D12" i="14"/>
  <c r="C12" i="14"/>
  <c r="M12" i="14"/>
  <c r="N12" i="14"/>
  <c r="P20" i="5"/>
  <c r="O11" i="14" s="1"/>
  <c r="E7" i="16"/>
  <c r="I7" i="16" s="1"/>
  <c r="B7" i="16"/>
  <c r="I5" i="16"/>
  <c r="Y76" i="19"/>
  <c r="U9" i="20"/>
  <c r="O12" i="14"/>
  <c r="M9" i="14"/>
  <c r="U8" i="20"/>
  <c r="Y113" i="19"/>
  <c r="U48" i="19"/>
  <c r="Y62" i="19"/>
  <c r="Y58" i="19"/>
  <c r="O9" i="14"/>
  <c r="S89" i="19"/>
  <c r="T98" i="19"/>
  <c r="T116" i="15"/>
  <c r="P58" i="14"/>
  <c r="R58" i="14"/>
  <c r="Y26" i="19"/>
  <c r="X27" i="19"/>
  <c r="S43" i="20"/>
  <c r="S42" i="20"/>
  <c r="U51" i="20"/>
  <c r="Y73" i="19"/>
  <c r="Y74" i="19"/>
  <c r="Y83" i="19"/>
  <c r="Y41" i="19"/>
  <c r="U31" i="20"/>
  <c r="U38" i="20"/>
  <c r="U34" i="20"/>
  <c r="M38" i="14"/>
  <c r="O35" i="20"/>
  <c r="O38" i="14"/>
  <c r="Q35" i="20"/>
  <c r="D54" i="14"/>
  <c r="E54" i="14"/>
  <c r="F54" i="14"/>
  <c r="G54" i="14"/>
  <c r="H54" i="14"/>
  <c r="I54" i="14"/>
  <c r="J54" i="14"/>
  <c r="K54" i="14"/>
  <c r="L54" i="14"/>
  <c r="M54" i="14"/>
  <c r="N54" i="14"/>
  <c r="P54" i="14"/>
  <c r="Q54" i="14"/>
  <c r="R54" i="14"/>
  <c r="T54" i="14"/>
  <c r="U54" i="14"/>
  <c r="V54" i="14"/>
  <c r="D53" i="14"/>
  <c r="E53" i="14"/>
  <c r="F53" i="14"/>
  <c r="G53" i="14"/>
  <c r="H53" i="14"/>
  <c r="I53" i="14"/>
  <c r="J53" i="14"/>
  <c r="K53" i="14"/>
  <c r="L53" i="14"/>
  <c r="M53" i="14"/>
  <c r="N53" i="14"/>
  <c r="P53" i="14"/>
  <c r="Q53" i="14"/>
  <c r="R53" i="14"/>
  <c r="S53" i="14"/>
  <c r="T53" i="14"/>
  <c r="U53" i="14"/>
  <c r="V53" i="14"/>
  <c r="C50" i="14"/>
  <c r="D50" i="14"/>
  <c r="E50" i="14"/>
  <c r="F50" i="14"/>
  <c r="G50" i="14"/>
  <c r="H50" i="14"/>
  <c r="I50" i="14"/>
  <c r="J50" i="14"/>
  <c r="K50" i="14"/>
  <c r="L50" i="14"/>
  <c r="M50" i="14"/>
  <c r="N50" i="14"/>
  <c r="P50" i="14"/>
  <c r="Q50" i="14"/>
  <c r="R50" i="14"/>
  <c r="S50" i="14"/>
  <c r="T50" i="14"/>
  <c r="U50" i="14"/>
  <c r="V50" i="14"/>
  <c r="C51" i="14"/>
  <c r="D51" i="14"/>
  <c r="E51" i="14"/>
  <c r="F51" i="14"/>
  <c r="G51" i="14"/>
  <c r="H51" i="14"/>
  <c r="I51" i="14"/>
  <c r="J51" i="14"/>
  <c r="K51" i="14"/>
  <c r="L51" i="14"/>
  <c r="M51" i="14"/>
  <c r="N51" i="14"/>
  <c r="P51" i="14"/>
  <c r="Q51" i="14"/>
  <c r="R51" i="14"/>
  <c r="S51" i="14"/>
  <c r="T51" i="14"/>
  <c r="U51" i="14"/>
  <c r="V51" i="14"/>
  <c r="C52" i="14"/>
  <c r="D52" i="14"/>
  <c r="E52" i="14"/>
  <c r="F52" i="14"/>
  <c r="G52" i="14"/>
  <c r="H52" i="14"/>
  <c r="I52" i="14"/>
  <c r="J52" i="14"/>
  <c r="K52" i="14"/>
  <c r="L52" i="14"/>
  <c r="M52" i="14"/>
  <c r="N52" i="14"/>
  <c r="P52" i="14"/>
  <c r="Q52" i="14"/>
  <c r="R52" i="14"/>
  <c r="S52" i="14"/>
  <c r="T52" i="14"/>
  <c r="U52" i="14"/>
  <c r="V52" i="14"/>
  <c r="D49" i="14"/>
  <c r="E49" i="14"/>
  <c r="F49" i="14"/>
  <c r="G49" i="14"/>
  <c r="H49" i="14"/>
  <c r="I49" i="14"/>
  <c r="J49" i="14"/>
  <c r="K49" i="14"/>
  <c r="L49" i="14"/>
  <c r="M49" i="14"/>
  <c r="N49" i="14"/>
  <c r="P49" i="14"/>
  <c r="Q49" i="14"/>
  <c r="R49" i="14"/>
  <c r="S49" i="14"/>
  <c r="T49" i="14"/>
  <c r="U49" i="14"/>
  <c r="V49" i="14"/>
  <c r="D48" i="14"/>
  <c r="E48" i="14"/>
  <c r="F48" i="14"/>
  <c r="G48" i="14"/>
  <c r="H48" i="14"/>
  <c r="I48" i="14"/>
  <c r="J48" i="14"/>
  <c r="K48" i="14"/>
  <c r="L48" i="14"/>
  <c r="M48" i="14"/>
  <c r="N48" i="14"/>
  <c r="P48" i="14"/>
  <c r="Q48" i="14"/>
  <c r="R48" i="14"/>
  <c r="S48" i="14"/>
  <c r="T48" i="14"/>
  <c r="U48" i="14"/>
  <c r="V48" i="14"/>
  <c r="E45" i="14"/>
  <c r="F45" i="14"/>
  <c r="G45" i="14"/>
  <c r="H45" i="14"/>
  <c r="I45" i="14"/>
  <c r="J45" i="14"/>
  <c r="K45" i="14"/>
  <c r="L45" i="14"/>
  <c r="M45" i="14"/>
  <c r="N45" i="14"/>
  <c r="O45" i="14"/>
  <c r="P45" i="14"/>
  <c r="Q45" i="14"/>
  <c r="R45" i="14"/>
  <c r="T45" i="14"/>
  <c r="U45" i="14"/>
  <c r="V45" i="14"/>
  <c r="E46" i="14"/>
  <c r="F46" i="14"/>
  <c r="G46" i="14"/>
  <c r="H46" i="14"/>
  <c r="I46" i="14"/>
  <c r="J46" i="14"/>
  <c r="K46" i="14"/>
  <c r="L46" i="14"/>
  <c r="M46" i="14"/>
  <c r="N46" i="14"/>
  <c r="O46" i="14"/>
  <c r="P46" i="14"/>
  <c r="Q46" i="14"/>
  <c r="R46" i="14"/>
  <c r="T46" i="14"/>
  <c r="U46" i="14"/>
  <c r="V46" i="14"/>
  <c r="E47" i="14"/>
  <c r="F47" i="14"/>
  <c r="G47" i="14"/>
  <c r="H47" i="14"/>
  <c r="I47" i="14"/>
  <c r="J47" i="14"/>
  <c r="K47" i="14"/>
  <c r="L47" i="14"/>
  <c r="M47" i="14"/>
  <c r="N47" i="14"/>
  <c r="O47" i="14"/>
  <c r="P47" i="14"/>
  <c r="Q47" i="14"/>
  <c r="R47" i="14"/>
  <c r="T47" i="14"/>
  <c r="U47" i="14"/>
  <c r="V47" i="14"/>
  <c r="F44" i="14"/>
  <c r="G44" i="14"/>
  <c r="H44" i="14"/>
  <c r="I44" i="14"/>
  <c r="J44" i="14"/>
  <c r="K44" i="14"/>
  <c r="L44" i="14"/>
  <c r="M44" i="14"/>
  <c r="N44" i="14"/>
  <c r="O44" i="14"/>
  <c r="P44" i="14"/>
  <c r="R44" i="14"/>
  <c r="T44" i="14"/>
  <c r="U44" i="14"/>
  <c r="V44" i="14"/>
  <c r="C45" i="14"/>
  <c r="D45" i="14"/>
  <c r="C46" i="14"/>
  <c r="D46" i="14"/>
  <c r="C47" i="14"/>
  <c r="D47" i="14"/>
  <c r="C44" i="14"/>
  <c r="D44" i="14"/>
  <c r="D42" i="14"/>
  <c r="E42" i="14"/>
  <c r="F42" i="14"/>
  <c r="G42" i="14"/>
  <c r="H42" i="14"/>
  <c r="I42" i="14"/>
  <c r="J42" i="14"/>
  <c r="K42" i="14"/>
  <c r="L42" i="14"/>
  <c r="M42" i="14"/>
  <c r="N42" i="14"/>
  <c r="P42" i="14"/>
  <c r="Q42" i="14"/>
  <c r="R42" i="14"/>
  <c r="T42" i="14"/>
  <c r="U42" i="14"/>
  <c r="V42" i="14"/>
  <c r="D41" i="14"/>
  <c r="E41" i="14"/>
  <c r="F41" i="14"/>
  <c r="G41" i="14"/>
  <c r="H41" i="14"/>
  <c r="I41" i="14"/>
  <c r="J41" i="14"/>
  <c r="K41" i="14"/>
  <c r="L41" i="14"/>
  <c r="M41" i="14"/>
  <c r="N41" i="14"/>
  <c r="P41" i="14"/>
  <c r="Q41" i="14"/>
  <c r="R41" i="14"/>
  <c r="T41" i="14"/>
  <c r="U41" i="14"/>
  <c r="V41" i="14"/>
  <c r="C41" i="14"/>
  <c r="C33" i="14"/>
  <c r="D33" i="14"/>
  <c r="F33" i="14"/>
  <c r="G33" i="14"/>
  <c r="H33" i="14"/>
  <c r="I33" i="14"/>
  <c r="J33" i="14"/>
  <c r="K33" i="14"/>
  <c r="L33" i="14"/>
  <c r="N33" i="14"/>
  <c r="P33" i="14"/>
  <c r="Q33" i="14"/>
  <c r="R33" i="14"/>
  <c r="S33" i="14"/>
  <c r="T33" i="14"/>
  <c r="U33" i="14"/>
  <c r="V33" i="14"/>
  <c r="E33" i="14"/>
  <c r="C31" i="14"/>
  <c r="D31" i="14"/>
  <c r="E31" i="14"/>
  <c r="F31" i="14"/>
  <c r="G31" i="14"/>
  <c r="H31" i="14"/>
  <c r="I31" i="14"/>
  <c r="J31" i="14"/>
  <c r="K31" i="14"/>
  <c r="L31" i="14"/>
  <c r="M31" i="14"/>
  <c r="O31" i="14"/>
  <c r="P31" i="14"/>
  <c r="R31" i="14"/>
  <c r="T31" i="14"/>
  <c r="U31" i="14"/>
  <c r="V31" i="14"/>
  <c r="C32" i="14"/>
  <c r="D32" i="14"/>
  <c r="E32" i="14"/>
  <c r="F32" i="14"/>
  <c r="G32" i="14"/>
  <c r="H32" i="14"/>
  <c r="I32" i="14"/>
  <c r="J32" i="14"/>
  <c r="K32" i="14"/>
  <c r="L32" i="14"/>
  <c r="M32" i="14"/>
  <c r="N32" i="14"/>
  <c r="O32" i="14"/>
  <c r="P32" i="14"/>
  <c r="Q32" i="14"/>
  <c r="R32" i="14"/>
  <c r="T32" i="14"/>
  <c r="U32" i="14"/>
  <c r="V32" i="14"/>
  <c r="C26" i="14"/>
  <c r="D26" i="14"/>
  <c r="E26" i="14"/>
  <c r="F26" i="14"/>
  <c r="G26" i="14"/>
  <c r="H26" i="14"/>
  <c r="I26" i="14"/>
  <c r="J26" i="14"/>
  <c r="K26" i="14"/>
  <c r="N26" i="14"/>
  <c r="P26" i="14"/>
  <c r="Q26" i="14"/>
  <c r="R26" i="14"/>
  <c r="S26" i="14"/>
  <c r="T26" i="14"/>
  <c r="U26" i="14"/>
  <c r="V26" i="14"/>
  <c r="C27" i="14"/>
  <c r="D27" i="14"/>
  <c r="E27" i="14"/>
  <c r="N27" i="14"/>
  <c r="P27" i="14"/>
  <c r="Q27" i="14"/>
  <c r="R27" i="14"/>
  <c r="S27" i="14"/>
  <c r="T27" i="14"/>
  <c r="U27" i="14"/>
  <c r="V27" i="14"/>
  <c r="C28" i="14"/>
  <c r="D28" i="14"/>
  <c r="E28" i="14"/>
  <c r="F28" i="14"/>
  <c r="G28" i="14"/>
  <c r="H28" i="14"/>
  <c r="I28" i="14"/>
  <c r="J28" i="14"/>
  <c r="K28" i="14"/>
  <c r="L28" i="14"/>
  <c r="M28" i="14"/>
  <c r="N28" i="14"/>
  <c r="P28" i="14"/>
  <c r="Q28" i="14"/>
  <c r="R28" i="14"/>
  <c r="T28" i="14"/>
  <c r="U28" i="14"/>
  <c r="V28" i="14"/>
  <c r="C29" i="14"/>
  <c r="D29" i="14"/>
  <c r="E29" i="14"/>
  <c r="F29" i="14"/>
  <c r="G29" i="14"/>
  <c r="H29" i="14"/>
  <c r="I29" i="14"/>
  <c r="J29" i="14"/>
  <c r="K29" i="14"/>
  <c r="L29" i="14"/>
  <c r="N29" i="14"/>
  <c r="P29" i="14"/>
  <c r="Q29" i="14"/>
  <c r="R29" i="14"/>
  <c r="S29" i="14"/>
  <c r="T29" i="14"/>
  <c r="U29" i="14"/>
  <c r="V29" i="14"/>
  <c r="C30" i="14"/>
  <c r="D30" i="14"/>
  <c r="E30" i="14"/>
  <c r="F30" i="14"/>
  <c r="G30" i="14"/>
  <c r="H30" i="14"/>
  <c r="I30" i="14"/>
  <c r="J30" i="14"/>
  <c r="K30" i="14"/>
  <c r="L30" i="14"/>
  <c r="M30" i="14"/>
  <c r="N30" i="14"/>
  <c r="O30" i="14"/>
  <c r="P30" i="14"/>
  <c r="Q30" i="14"/>
  <c r="R30" i="14"/>
  <c r="S30" i="14"/>
  <c r="T30" i="14"/>
  <c r="U30" i="14"/>
  <c r="V30" i="14"/>
  <c r="C25" i="14"/>
  <c r="D25" i="14"/>
  <c r="E25" i="14"/>
  <c r="F25" i="14"/>
  <c r="G25" i="14"/>
  <c r="H25" i="14"/>
  <c r="I25" i="14"/>
  <c r="J25" i="14"/>
  <c r="K25" i="14"/>
  <c r="L25" i="14"/>
  <c r="M25" i="14"/>
  <c r="N25" i="14"/>
  <c r="P25" i="14"/>
  <c r="Q25" i="14"/>
  <c r="R25" i="14"/>
  <c r="T25" i="14"/>
  <c r="U25" i="14"/>
  <c r="V25" i="14"/>
  <c r="F24" i="14"/>
  <c r="G24" i="14"/>
  <c r="H24" i="14"/>
  <c r="I24" i="14"/>
  <c r="J24" i="14"/>
  <c r="K24" i="14"/>
  <c r="L24" i="14"/>
  <c r="N24" i="14"/>
  <c r="P24" i="14"/>
  <c r="R24" i="14"/>
  <c r="T24" i="14"/>
  <c r="U24" i="14"/>
  <c r="V24" i="14"/>
  <c r="C21" i="14"/>
  <c r="D21" i="14"/>
  <c r="E21" i="14"/>
  <c r="F21" i="14"/>
  <c r="G21" i="14"/>
  <c r="H21" i="14"/>
  <c r="I21" i="14"/>
  <c r="J21" i="14"/>
  <c r="K21" i="14"/>
  <c r="L21" i="14"/>
  <c r="M21" i="14"/>
  <c r="N21" i="14"/>
  <c r="P21" i="14"/>
  <c r="Q21" i="14"/>
  <c r="R21" i="14"/>
  <c r="T21" i="14"/>
  <c r="U21" i="14"/>
  <c r="V21" i="14"/>
  <c r="C22" i="14"/>
  <c r="D22" i="14"/>
  <c r="E22" i="14"/>
  <c r="F22" i="14"/>
  <c r="G22" i="14"/>
  <c r="H22" i="14"/>
  <c r="I22" i="14"/>
  <c r="J22" i="14"/>
  <c r="K22" i="14"/>
  <c r="L22" i="14"/>
  <c r="M22" i="14"/>
  <c r="N22" i="14"/>
  <c r="P22" i="14"/>
  <c r="Q22" i="14"/>
  <c r="R22" i="14"/>
  <c r="T22" i="14"/>
  <c r="U22" i="14"/>
  <c r="V22" i="14"/>
  <c r="C23" i="14"/>
  <c r="D23" i="14"/>
  <c r="E23" i="14"/>
  <c r="F23" i="14"/>
  <c r="G23" i="14"/>
  <c r="H23" i="14"/>
  <c r="I23" i="14"/>
  <c r="J23" i="14"/>
  <c r="K23" i="14"/>
  <c r="L23" i="14"/>
  <c r="M23" i="14"/>
  <c r="N23" i="14"/>
  <c r="P23" i="14"/>
  <c r="Q23" i="14"/>
  <c r="R23" i="14"/>
  <c r="T23" i="14"/>
  <c r="U23" i="14"/>
  <c r="V23" i="14"/>
  <c r="D20" i="14"/>
  <c r="E20" i="14"/>
  <c r="F20" i="14"/>
  <c r="G20" i="14"/>
  <c r="H20" i="14"/>
  <c r="I20" i="14"/>
  <c r="J20" i="14"/>
  <c r="K20" i="14"/>
  <c r="L20" i="14"/>
  <c r="M20" i="14"/>
  <c r="N20" i="14"/>
  <c r="P20" i="14"/>
  <c r="Q20" i="14"/>
  <c r="R20" i="14"/>
  <c r="T20" i="14"/>
  <c r="U20" i="14"/>
  <c r="V20" i="14"/>
  <c r="C20" i="14"/>
  <c r="F19" i="14"/>
  <c r="G19" i="14"/>
  <c r="H19" i="14"/>
  <c r="I19" i="14"/>
  <c r="J19" i="14"/>
  <c r="K19" i="14"/>
  <c r="L19" i="14"/>
  <c r="M19" i="14"/>
  <c r="N19" i="14"/>
  <c r="P19" i="14"/>
  <c r="Q19" i="14"/>
  <c r="R19" i="14"/>
  <c r="T19" i="14"/>
  <c r="U19" i="14"/>
  <c r="V19" i="14"/>
  <c r="F18" i="14"/>
  <c r="G18" i="14"/>
  <c r="H18" i="14"/>
  <c r="I18" i="14"/>
  <c r="J18" i="14"/>
  <c r="K18" i="14"/>
  <c r="L18" i="14"/>
  <c r="M18" i="14"/>
  <c r="N18" i="14"/>
  <c r="P18" i="14"/>
  <c r="Q18" i="14"/>
  <c r="R18" i="14"/>
  <c r="S18" i="14"/>
  <c r="T18" i="14"/>
  <c r="U18" i="14"/>
  <c r="V18" i="14"/>
  <c r="F17" i="14"/>
  <c r="G17" i="14"/>
  <c r="H17" i="14"/>
  <c r="I17" i="14"/>
  <c r="J17" i="14"/>
  <c r="K17" i="14"/>
  <c r="L17" i="14"/>
  <c r="M17" i="14"/>
  <c r="N17" i="14"/>
  <c r="P17" i="14"/>
  <c r="Q17" i="14"/>
  <c r="R17" i="14"/>
  <c r="S17" i="14"/>
  <c r="T17" i="14"/>
  <c r="U17" i="14"/>
  <c r="V17" i="14"/>
  <c r="E16" i="14"/>
  <c r="F16" i="14"/>
  <c r="G16" i="14"/>
  <c r="H16" i="14"/>
  <c r="I16" i="14"/>
  <c r="J16" i="14"/>
  <c r="K16" i="14"/>
  <c r="L16" i="14"/>
  <c r="M16" i="14"/>
  <c r="N16" i="14"/>
  <c r="P16" i="14"/>
  <c r="Q16" i="14"/>
  <c r="R16" i="14"/>
  <c r="S16" i="14"/>
  <c r="T16" i="14"/>
  <c r="U16" i="14"/>
  <c r="V16" i="14"/>
  <c r="E8" i="14"/>
  <c r="F8" i="14"/>
  <c r="G8" i="14"/>
  <c r="H8" i="14"/>
  <c r="I8" i="14"/>
  <c r="J8" i="14"/>
  <c r="K8" i="14"/>
  <c r="L8" i="14"/>
  <c r="N8" i="14"/>
  <c r="P8" i="14"/>
  <c r="Q8" i="14"/>
  <c r="R8" i="14"/>
  <c r="S8" i="14"/>
  <c r="T8" i="14"/>
  <c r="U8" i="14"/>
  <c r="V8" i="14"/>
  <c r="E10" i="14"/>
  <c r="F10" i="14"/>
  <c r="G10" i="14"/>
  <c r="H10" i="14"/>
  <c r="I10" i="14"/>
  <c r="J10" i="14"/>
  <c r="K10" i="14"/>
  <c r="L10" i="14"/>
  <c r="M10" i="14"/>
  <c r="N10" i="14"/>
  <c r="P10" i="14"/>
  <c r="Q10" i="14"/>
  <c r="R10" i="14"/>
  <c r="S10" i="14"/>
  <c r="T10" i="14"/>
  <c r="U10" i="14"/>
  <c r="V10" i="14"/>
  <c r="E11" i="14"/>
  <c r="F11" i="14"/>
  <c r="G11" i="14"/>
  <c r="H11" i="14"/>
  <c r="I11" i="14"/>
  <c r="J11" i="14"/>
  <c r="K11" i="14"/>
  <c r="L11" i="14"/>
  <c r="M11" i="14"/>
  <c r="N11" i="14"/>
  <c r="P11" i="14"/>
  <c r="Q11" i="14"/>
  <c r="R11" i="14"/>
  <c r="S11" i="14"/>
  <c r="T11" i="14"/>
  <c r="U11" i="14"/>
  <c r="V11" i="14"/>
  <c r="E13" i="14"/>
  <c r="F13" i="14"/>
  <c r="G13" i="14"/>
  <c r="H13" i="14"/>
  <c r="I13" i="14"/>
  <c r="J13" i="14"/>
  <c r="K13" i="14"/>
  <c r="L13" i="14"/>
  <c r="M13" i="14"/>
  <c r="N13" i="14"/>
  <c r="P13" i="14"/>
  <c r="Q13" i="14"/>
  <c r="R13" i="14"/>
  <c r="S13" i="14"/>
  <c r="T13" i="14"/>
  <c r="U13" i="14"/>
  <c r="V13" i="14"/>
  <c r="E14" i="14"/>
  <c r="F14" i="14"/>
  <c r="G14" i="14"/>
  <c r="H14" i="14"/>
  <c r="I14" i="14"/>
  <c r="J14" i="14"/>
  <c r="K14" i="14"/>
  <c r="L14" i="14"/>
  <c r="M14" i="14"/>
  <c r="N14" i="14"/>
  <c r="P14" i="14"/>
  <c r="Q14" i="14"/>
  <c r="R14" i="14"/>
  <c r="S14" i="14"/>
  <c r="T14" i="14"/>
  <c r="U14" i="14"/>
  <c r="V14" i="14"/>
  <c r="E15" i="14"/>
  <c r="F15" i="14"/>
  <c r="G15" i="14"/>
  <c r="H15" i="14"/>
  <c r="I15" i="14"/>
  <c r="J15" i="14"/>
  <c r="K15" i="14"/>
  <c r="L15" i="14"/>
  <c r="M15" i="14"/>
  <c r="N15" i="14"/>
  <c r="P15" i="14"/>
  <c r="Q15" i="14"/>
  <c r="R15" i="14"/>
  <c r="S15" i="14"/>
  <c r="T15" i="14"/>
  <c r="U15" i="14"/>
  <c r="V15" i="14"/>
  <c r="E4" i="14"/>
  <c r="F4" i="14"/>
  <c r="G4" i="14"/>
  <c r="H4" i="14"/>
  <c r="I4" i="14"/>
  <c r="J4" i="14"/>
  <c r="K4" i="14"/>
  <c r="L4" i="14"/>
  <c r="M4" i="14"/>
  <c r="N4" i="14"/>
  <c r="P4" i="14"/>
  <c r="Q4" i="14"/>
  <c r="R4" i="14"/>
  <c r="T4" i="14"/>
  <c r="U4" i="14"/>
  <c r="V4" i="14"/>
  <c r="E5" i="14"/>
  <c r="F5" i="14"/>
  <c r="G5" i="14"/>
  <c r="H5" i="14"/>
  <c r="I5" i="14"/>
  <c r="J5" i="14"/>
  <c r="K5" i="14"/>
  <c r="L5" i="14"/>
  <c r="N5" i="14"/>
  <c r="P5" i="14"/>
  <c r="Q5" i="14"/>
  <c r="R5" i="14"/>
  <c r="T5" i="14"/>
  <c r="U5" i="14"/>
  <c r="V5" i="14"/>
  <c r="E6" i="14"/>
  <c r="F6" i="14"/>
  <c r="G6" i="14"/>
  <c r="H6" i="14"/>
  <c r="I6" i="14"/>
  <c r="J6" i="14"/>
  <c r="K6" i="14"/>
  <c r="L6" i="14"/>
  <c r="M6" i="14"/>
  <c r="N6" i="14"/>
  <c r="P6" i="14"/>
  <c r="Q6" i="14"/>
  <c r="R6" i="14"/>
  <c r="T6" i="14"/>
  <c r="U6" i="14"/>
  <c r="V6" i="14"/>
  <c r="E7" i="14"/>
  <c r="F7" i="14"/>
  <c r="G7" i="14"/>
  <c r="H7" i="14"/>
  <c r="I7" i="14"/>
  <c r="J7" i="14"/>
  <c r="K7" i="14"/>
  <c r="L7" i="14"/>
  <c r="N7" i="14"/>
  <c r="P7" i="14"/>
  <c r="Q7" i="14"/>
  <c r="R7" i="14"/>
  <c r="S7" i="14"/>
  <c r="T7" i="14"/>
  <c r="U7" i="14"/>
  <c r="V7" i="14"/>
  <c r="F3" i="14"/>
  <c r="G3" i="14"/>
  <c r="H3" i="14"/>
  <c r="I3" i="14"/>
  <c r="J3" i="14"/>
  <c r="K3" i="14"/>
  <c r="L3" i="14"/>
  <c r="N3" i="14"/>
  <c r="P3" i="14"/>
  <c r="Q3" i="14"/>
  <c r="R3" i="14"/>
  <c r="S3" i="14"/>
  <c r="T3" i="14"/>
  <c r="U3" i="14"/>
  <c r="V3" i="14"/>
  <c r="F2" i="14"/>
  <c r="G2" i="14"/>
  <c r="H2" i="14"/>
  <c r="I2" i="14"/>
  <c r="J2" i="14"/>
  <c r="K2" i="14"/>
  <c r="L2" i="14"/>
  <c r="M2" i="14"/>
  <c r="N2" i="14"/>
  <c r="P2" i="14"/>
  <c r="Q2" i="14"/>
  <c r="R2" i="14"/>
  <c r="T2" i="14"/>
  <c r="U2" i="14"/>
  <c r="V2" i="14"/>
  <c r="Y71" i="19"/>
  <c r="O29" i="14"/>
  <c r="U24" i="20"/>
  <c r="F112" i="15"/>
  <c r="G112" i="15"/>
  <c r="H112" i="15"/>
  <c r="I112" i="15"/>
  <c r="J112" i="15"/>
  <c r="K112" i="15"/>
  <c r="L112" i="15"/>
  <c r="N112" i="15"/>
  <c r="O112" i="15"/>
  <c r="P112" i="15"/>
  <c r="Q112" i="15"/>
  <c r="R112" i="15"/>
  <c r="T112" i="15"/>
  <c r="U112" i="15"/>
  <c r="V112" i="15"/>
  <c r="X112" i="15"/>
  <c r="Y112" i="15"/>
  <c r="Z112" i="15"/>
  <c r="F113" i="15"/>
  <c r="G113" i="15"/>
  <c r="H113" i="15"/>
  <c r="I113" i="15"/>
  <c r="J113" i="15"/>
  <c r="K113" i="15"/>
  <c r="L113" i="15"/>
  <c r="M113" i="15"/>
  <c r="N113" i="15"/>
  <c r="O113" i="15"/>
  <c r="P113" i="15"/>
  <c r="R113" i="15"/>
  <c r="T113" i="15"/>
  <c r="U113" i="15"/>
  <c r="V113" i="15"/>
  <c r="W113" i="15"/>
  <c r="Y113" i="15"/>
  <c r="Z113" i="15"/>
  <c r="F114" i="15"/>
  <c r="G114" i="15"/>
  <c r="H114" i="15"/>
  <c r="I114" i="15"/>
  <c r="J114" i="15"/>
  <c r="K114" i="15"/>
  <c r="L114" i="15"/>
  <c r="M114" i="15"/>
  <c r="N114" i="15"/>
  <c r="O114" i="15"/>
  <c r="P114" i="15"/>
  <c r="Q114" i="15"/>
  <c r="R114" i="15"/>
  <c r="T114" i="15"/>
  <c r="U114" i="15"/>
  <c r="V114" i="15"/>
  <c r="W114" i="15"/>
  <c r="Y114" i="15"/>
  <c r="Z114" i="15"/>
  <c r="F110" i="15"/>
  <c r="G110" i="15"/>
  <c r="H110" i="15"/>
  <c r="I110" i="15"/>
  <c r="J110" i="15"/>
  <c r="K110" i="15"/>
  <c r="L110" i="15"/>
  <c r="M110" i="15"/>
  <c r="N110" i="15"/>
  <c r="O110" i="15"/>
  <c r="P110" i="15"/>
  <c r="Q110" i="15"/>
  <c r="R110" i="15"/>
  <c r="T110" i="15"/>
  <c r="U110" i="15"/>
  <c r="V110" i="15"/>
  <c r="W110" i="15"/>
  <c r="Y110" i="15"/>
  <c r="Z110" i="15"/>
  <c r="F111" i="15"/>
  <c r="G111" i="15"/>
  <c r="H111" i="15"/>
  <c r="I111" i="15"/>
  <c r="J111" i="15"/>
  <c r="K111" i="15"/>
  <c r="L111" i="15"/>
  <c r="M111" i="15"/>
  <c r="N111" i="15"/>
  <c r="O111" i="15"/>
  <c r="P111" i="15"/>
  <c r="Q111" i="15"/>
  <c r="R111" i="15"/>
  <c r="T111" i="15"/>
  <c r="U111" i="15"/>
  <c r="V111" i="15"/>
  <c r="Y111" i="15"/>
  <c r="Z111" i="15"/>
  <c r="G109" i="15"/>
  <c r="H109" i="15"/>
  <c r="I109" i="15"/>
  <c r="J109" i="15"/>
  <c r="K109" i="15"/>
  <c r="L109" i="15"/>
  <c r="M109" i="15"/>
  <c r="N109" i="15"/>
  <c r="O109" i="15"/>
  <c r="P109" i="15"/>
  <c r="Q109" i="15"/>
  <c r="R109" i="15"/>
  <c r="T109" i="15"/>
  <c r="U109" i="15"/>
  <c r="V109" i="15"/>
  <c r="Y109" i="15"/>
  <c r="Z109" i="15"/>
  <c r="G108" i="15"/>
  <c r="H108" i="15"/>
  <c r="I108" i="15"/>
  <c r="J108" i="15"/>
  <c r="K108" i="15"/>
  <c r="L108" i="15"/>
  <c r="M108" i="15"/>
  <c r="N108" i="15"/>
  <c r="O108" i="15"/>
  <c r="P108" i="15"/>
  <c r="Q108" i="15"/>
  <c r="R108" i="15"/>
  <c r="T108" i="15"/>
  <c r="U108" i="15"/>
  <c r="V108" i="15"/>
  <c r="X108" i="15"/>
  <c r="Y108" i="15"/>
  <c r="Z108" i="15"/>
  <c r="F108" i="15"/>
  <c r="G107" i="15"/>
  <c r="H107" i="15"/>
  <c r="I107" i="15"/>
  <c r="J107" i="15"/>
  <c r="K107" i="15"/>
  <c r="L107" i="15"/>
  <c r="M107" i="15"/>
  <c r="N107" i="15"/>
  <c r="O107" i="15"/>
  <c r="P107" i="15"/>
  <c r="Q107" i="15"/>
  <c r="R107" i="15"/>
  <c r="T107" i="15"/>
  <c r="X107" i="15"/>
  <c r="Y107" i="15"/>
  <c r="Z107" i="15"/>
  <c r="F107" i="15"/>
  <c r="F106" i="15"/>
  <c r="G106" i="15"/>
  <c r="H106" i="15"/>
  <c r="I106" i="15"/>
  <c r="J106" i="15"/>
  <c r="K106" i="15"/>
  <c r="L106" i="15"/>
  <c r="M106" i="15"/>
  <c r="N106" i="15"/>
  <c r="O106" i="15"/>
  <c r="P106" i="15"/>
  <c r="R106" i="15"/>
  <c r="T106" i="15"/>
  <c r="U106" i="15"/>
  <c r="V106" i="15"/>
  <c r="X106" i="15"/>
  <c r="Y106" i="15"/>
  <c r="Z106" i="15"/>
  <c r="F105" i="15"/>
  <c r="G105" i="15"/>
  <c r="H105" i="15"/>
  <c r="I105" i="15"/>
  <c r="J105" i="15"/>
  <c r="K105" i="15"/>
  <c r="L105" i="15"/>
  <c r="M105" i="15"/>
  <c r="N105" i="15"/>
  <c r="O105" i="15"/>
  <c r="P105" i="15"/>
  <c r="Q105" i="15"/>
  <c r="R105" i="15"/>
  <c r="T105" i="15"/>
  <c r="U105" i="15"/>
  <c r="V105" i="15"/>
  <c r="X105" i="15"/>
  <c r="Y105" i="15"/>
  <c r="Z105" i="15"/>
  <c r="F94" i="15"/>
  <c r="G94" i="15"/>
  <c r="H94" i="15"/>
  <c r="I94" i="15"/>
  <c r="J94" i="15"/>
  <c r="K94" i="15"/>
  <c r="L94" i="15"/>
  <c r="M94" i="15"/>
  <c r="N94" i="15"/>
  <c r="O94" i="15"/>
  <c r="P94" i="15"/>
  <c r="Q94" i="15"/>
  <c r="R94" i="15"/>
  <c r="T94" i="15"/>
  <c r="U94" i="15"/>
  <c r="V94" i="15"/>
  <c r="X94" i="15"/>
  <c r="Y94" i="15"/>
  <c r="Z94" i="15"/>
  <c r="F95" i="15"/>
  <c r="G95" i="15"/>
  <c r="H95" i="15"/>
  <c r="I95" i="15"/>
  <c r="J95" i="15"/>
  <c r="K95" i="15"/>
  <c r="L95" i="15"/>
  <c r="M95" i="15"/>
  <c r="N95" i="15"/>
  <c r="O95" i="15"/>
  <c r="P95" i="15"/>
  <c r="R95" i="15"/>
  <c r="T95" i="15"/>
  <c r="U95" i="15"/>
  <c r="V95" i="15"/>
  <c r="W95" i="15"/>
  <c r="Y95" i="15"/>
  <c r="Z95" i="15"/>
  <c r="F96" i="15"/>
  <c r="G96" i="15"/>
  <c r="H96" i="15"/>
  <c r="I96" i="15"/>
  <c r="J96" i="15"/>
  <c r="K96" i="15"/>
  <c r="L96" i="15"/>
  <c r="M96" i="15"/>
  <c r="N96" i="15"/>
  <c r="O96" i="15"/>
  <c r="P96" i="15"/>
  <c r="Q96" i="15"/>
  <c r="R96" i="15"/>
  <c r="T96" i="15"/>
  <c r="U96" i="15"/>
  <c r="V96" i="15"/>
  <c r="X96" i="15"/>
  <c r="Y96" i="15"/>
  <c r="Z96" i="15"/>
  <c r="F97" i="15"/>
  <c r="G97" i="15"/>
  <c r="H97" i="15"/>
  <c r="I97" i="15"/>
  <c r="J97" i="15"/>
  <c r="K97" i="15"/>
  <c r="L97" i="15"/>
  <c r="M97" i="15"/>
  <c r="N97" i="15"/>
  <c r="O97" i="15"/>
  <c r="P97" i="15"/>
  <c r="Q97" i="15"/>
  <c r="R97" i="15"/>
  <c r="T97" i="15"/>
  <c r="U97" i="15"/>
  <c r="V97" i="15"/>
  <c r="X97" i="15"/>
  <c r="Y97" i="15"/>
  <c r="Z97" i="15"/>
  <c r="F98" i="15"/>
  <c r="G98" i="15"/>
  <c r="H98" i="15"/>
  <c r="I98" i="15"/>
  <c r="J98" i="15"/>
  <c r="K98" i="15"/>
  <c r="L98" i="15"/>
  <c r="M98" i="15"/>
  <c r="N98" i="15"/>
  <c r="O98" i="15"/>
  <c r="P98" i="15"/>
  <c r="Q98" i="15"/>
  <c r="R98" i="15"/>
  <c r="T98" i="15"/>
  <c r="U98" i="15"/>
  <c r="V98" i="15"/>
  <c r="X98" i="15"/>
  <c r="Y98" i="15"/>
  <c r="Z98" i="15"/>
  <c r="F99" i="15"/>
  <c r="G99" i="15"/>
  <c r="H99" i="15"/>
  <c r="I99" i="15"/>
  <c r="J99" i="15"/>
  <c r="K99" i="15"/>
  <c r="L99" i="15"/>
  <c r="M99" i="15"/>
  <c r="N99" i="15"/>
  <c r="O99" i="15"/>
  <c r="P99" i="15"/>
  <c r="R99" i="15"/>
  <c r="T99" i="15"/>
  <c r="U99" i="15"/>
  <c r="V99" i="15"/>
  <c r="W99" i="15"/>
  <c r="Y99" i="15"/>
  <c r="Z99" i="15"/>
  <c r="F100" i="15"/>
  <c r="G100" i="15"/>
  <c r="H100" i="15"/>
  <c r="I100" i="15"/>
  <c r="J100" i="15"/>
  <c r="K100" i="15"/>
  <c r="L100" i="15"/>
  <c r="N100" i="15"/>
  <c r="O100" i="15"/>
  <c r="P100" i="15"/>
  <c r="R100" i="15"/>
  <c r="T100" i="15"/>
  <c r="U100" i="15"/>
  <c r="V100" i="15"/>
  <c r="W100" i="15"/>
  <c r="Y100" i="15"/>
  <c r="Z100" i="15"/>
  <c r="F101" i="15"/>
  <c r="G101" i="15"/>
  <c r="H101" i="15"/>
  <c r="I101" i="15"/>
  <c r="J101" i="15"/>
  <c r="K101" i="15"/>
  <c r="L101" i="15"/>
  <c r="M101" i="15"/>
  <c r="N101" i="15"/>
  <c r="O101" i="15"/>
  <c r="P101" i="15"/>
  <c r="Q101" i="15"/>
  <c r="R101" i="15"/>
  <c r="T101" i="15"/>
  <c r="U101" i="15"/>
  <c r="V101" i="15"/>
  <c r="X101" i="15"/>
  <c r="Y101" i="15"/>
  <c r="Z101" i="15"/>
  <c r="F102" i="15"/>
  <c r="G102" i="15"/>
  <c r="H102" i="15"/>
  <c r="I102" i="15"/>
  <c r="J102" i="15"/>
  <c r="K102" i="15"/>
  <c r="L102" i="15"/>
  <c r="M102" i="15"/>
  <c r="N102" i="15"/>
  <c r="O102" i="15"/>
  <c r="P102" i="15"/>
  <c r="R102" i="15"/>
  <c r="T102" i="15"/>
  <c r="U102" i="15"/>
  <c r="V102" i="15"/>
  <c r="W102" i="15"/>
  <c r="Y102" i="15"/>
  <c r="Z102" i="15"/>
  <c r="F103" i="15"/>
  <c r="G103" i="15"/>
  <c r="H103" i="15"/>
  <c r="I103" i="15"/>
  <c r="J103" i="15"/>
  <c r="K103" i="15"/>
  <c r="L103" i="15"/>
  <c r="M103" i="15"/>
  <c r="N103" i="15"/>
  <c r="O103" i="15"/>
  <c r="P103" i="15"/>
  <c r="Q103" i="15"/>
  <c r="R103" i="15"/>
  <c r="T103" i="15"/>
  <c r="U103" i="15"/>
  <c r="V103" i="15"/>
  <c r="X103" i="15"/>
  <c r="Y103" i="15"/>
  <c r="Z103" i="15"/>
  <c r="F104" i="15"/>
  <c r="G104" i="15"/>
  <c r="H104" i="15"/>
  <c r="I104" i="15"/>
  <c r="J104" i="15"/>
  <c r="K104" i="15"/>
  <c r="L104" i="15"/>
  <c r="M104" i="15"/>
  <c r="N104" i="15"/>
  <c r="O104" i="15"/>
  <c r="P104" i="15"/>
  <c r="R104" i="15"/>
  <c r="T104" i="15"/>
  <c r="U104" i="15"/>
  <c r="V104" i="15"/>
  <c r="W104" i="15"/>
  <c r="Y104" i="15"/>
  <c r="Z104" i="15"/>
  <c r="G93" i="15"/>
  <c r="H93" i="15"/>
  <c r="I93" i="15"/>
  <c r="J93" i="15"/>
  <c r="K93" i="15"/>
  <c r="L93" i="15"/>
  <c r="M93" i="15"/>
  <c r="N93" i="15"/>
  <c r="O93" i="15"/>
  <c r="P93" i="15"/>
  <c r="R93" i="15"/>
  <c r="T93" i="15"/>
  <c r="V93" i="15"/>
  <c r="X93" i="15"/>
  <c r="Y93" i="15"/>
  <c r="Z93" i="15"/>
  <c r="F92" i="15"/>
  <c r="F90" i="15"/>
  <c r="G90" i="15"/>
  <c r="H90" i="15"/>
  <c r="I90" i="15"/>
  <c r="J90" i="15"/>
  <c r="K90" i="15"/>
  <c r="L90" i="15"/>
  <c r="M90" i="15"/>
  <c r="N90" i="15"/>
  <c r="O90" i="15"/>
  <c r="P90" i="15"/>
  <c r="Q90" i="15"/>
  <c r="T90" i="15"/>
  <c r="U90" i="15"/>
  <c r="Y90" i="15"/>
  <c r="Z90" i="15"/>
  <c r="F91" i="15"/>
  <c r="G91" i="15"/>
  <c r="H91" i="15"/>
  <c r="I91" i="15"/>
  <c r="J91" i="15"/>
  <c r="K91" i="15"/>
  <c r="L91" i="15"/>
  <c r="N91" i="15"/>
  <c r="O91" i="15"/>
  <c r="P91" i="15"/>
  <c r="Q91" i="15"/>
  <c r="R91" i="15"/>
  <c r="T91" i="15"/>
  <c r="U91" i="15"/>
  <c r="V91" i="15"/>
  <c r="X91" i="15"/>
  <c r="Y91" i="15"/>
  <c r="Z91" i="15"/>
  <c r="G92" i="15"/>
  <c r="H92" i="15"/>
  <c r="I92" i="15"/>
  <c r="J92" i="15"/>
  <c r="K92" i="15"/>
  <c r="L92" i="15"/>
  <c r="N92" i="15"/>
  <c r="O92" i="15"/>
  <c r="P92" i="15"/>
  <c r="Q92" i="15"/>
  <c r="R92" i="15"/>
  <c r="T92" i="15"/>
  <c r="U92" i="15"/>
  <c r="V92" i="15"/>
  <c r="X92" i="15"/>
  <c r="Y92" i="15"/>
  <c r="Z92" i="15"/>
  <c r="F88" i="15"/>
  <c r="G88" i="15"/>
  <c r="H88" i="15"/>
  <c r="I88" i="15"/>
  <c r="J88" i="15"/>
  <c r="K88" i="15"/>
  <c r="L88" i="15"/>
  <c r="M88" i="15"/>
  <c r="N88" i="15"/>
  <c r="O88" i="15"/>
  <c r="P88" i="15"/>
  <c r="Q88" i="15"/>
  <c r="R88" i="15"/>
  <c r="T88" i="15"/>
  <c r="U88" i="15"/>
  <c r="V88" i="15"/>
  <c r="W88" i="15"/>
  <c r="Y88" i="15"/>
  <c r="Z88" i="15"/>
  <c r="F89" i="15"/>
  <c r="G89" i="15"/>
  <c r="H89" i="15"/>
  <c r="I89" i="15"/>
  <c r="J89" i="15"/>
  <c r="K89" i="15"/>
  <c r="L89" i="15"/>
  <c r="M89" i="15"/>
  <c r="N89" i="15"/>
  <c r="O89" i="15"/>
  <c r="P89" i="15"/>
  <c r="Q89" i="15"/>
  <c r="R89" i="15"/>
  <c r="T89" i="15"/>
  <c r="U89" i="15"/>
  <c r="V89" i="15"/>
  <c r="W89" i="15"/>
  <c r="Y89" i="15"/>
  <c r="Z89" i="15"/>
  <c r="F87" i="15"/>
  <c r="G87" i="15"/>
  <c r="H87" i="15"/>
  <c r="I87" i="15"/>
  <c r="J87" i="15"/>
  <c r="K87" i="15"/>
  <c r="L87" i="15"/>
  <c r="M87" i="15"/>
  <c r="N87" i="15"/>
  <c r="O87" i="15"/>
  <c r="Q87" i="15"/>
  <c r="T87" i="15"/>
  <c r="U87" i="15"/>
  <c r="V87" i="15"/>
  <c r="W87" i="15"/>
  <c r="Y87" i="15"/>
  <c r="Z87" i="15"/>
  <c r="G86" i="15"/>
  <c r="H86" i="15"/>
  <c r="I86" i="15"/>
  <c r="J86" i="15"/>
  <c r="K86" i="15"/>
  <c r="L86" i="15"/>
  <c r="N86" i="15"/>
  <c r="O86" i="15"/>
  <c r="P86" i="15"/>
  <c r="Q86" i="15"/>
  <c r="R86" i="15"/>
  <c r="T86" i="15"/>
  <c r="U86" i="15"/>
  <c r="V86" i="15"/>
  <c r="X86" i="15"/>
  <c r="Y86" i="15"/>
  <c r="Z86" i="15"/>
  <c r="G85" i="15"/>
  <c r="H85" i="15"/>
  <c r="I85" i="15"/>
  <c r="J85" i="15"/>
  <c r="K85" i="15"/>
  <c r="L85" i="15"/>
  <c r="M85" i="15"/>
  <c r="N85" i="15"/>
  <c r="O85" i="15"/>
  <c r="P85" i="15"/>
  <c r="Q85" i="15"/>
  <c r="R85" i="15"/>
  <c r="T85" i="15"/>
  <c r="U85" i="15"/>
  <c r="V85" i="15"/>
  <c r="X85" i="15"/>
  <c r="Y85" i="15"/>
  <c r="Z85" i="15"/>
  <c r="J84" i="15"/>
  <c r="K84" i="15"/>
  <c r="M84" i="15"/>
  <c r="N84" i="15"/>
  <c r="O84" i="15"/>
  <c r="P84" i="15"/>
  <c r="R84" i="15"/>
  <c r="T84" i="15"/>
  <c r="U84" i="15"/>
  <c r="V84" i="15"/>
  <c r="X84" i="15"/>
  <c r="Y84" i="15"/>
  <c r="Z84" i="15"/>
  <c r="G83" i="15"/>
  <c r="H83" i="15"/>
  <c r="I83" i="15"/>
  <c r="J83" i="15"/>
  <c r="K83" i="15"/>
  <c r="L83" i="15"/>
  <c r="M83" i="15"/>
  <c r="N83" i="15"/>
  <c r="O83" i="15"/>
  <c r="P83" i="15"/>
  <c r="R83" i="15"/>
  <c r="T83" i="15"/>
  <c r="U83" i="15"/>
  <c r="V83" i="15"/>
  <c r="X83" i="15"/>
  <c r="Y83" i="15"/>
  <c r="Z83" i="15"/>
  <c r="F82" i="15"/>
  <c r="G82" i="15"/>
  <c r="H82" i="15"/>
  <c r="I82" i="15"/>
  <c r="J82" i="15"/>
  <c r="K82" i="15"/>
  <c r="L82" i="15"/>
  <c r="M82" i="15"/>
  <c r="N82" i="15"/>
  <c r="O82" i="15"/>
  <c r="P82" i="15"/>
  <c r="R82" i="15"/>
  <c r="T82" i="15"/>
  <c r="V82" i="15"/>
  <c r="X82" i="15"/>
  <c r="Y82" i="15"/>
  <c r="Z82" i="15"/>
  <c r="F81" i="15"/>
  <c r="G81" i="15"/>
  <c r="H81" i="15"/>
  <c r="I81" i="15"/>
  <c r="J81" i="15"/>
  <c r="K81" i="15"/>
  <c r="L81" i="15"/>
  <c r="M81" i="15"/>
  <c r="N81" i="15"/>
  <c r="O81" i="15"/>
  <c r="P81" i="15"/>
  <c r="Q81" i="15"/>
  <c r="R81" i="15"/>
  <c r="T81" i="15"/>
  <c r="U81" i="15"/>
  <c r="V81" i="15"/>
  <c r="X81" i="15"/>
  <c r="Y81" i="15"/>
  <c r="Z81" i="15"/>
  <c r="F80" i="15"/>
  <c r="G80" i="15"/>
  <c r="H80" i="15"/>
  <c r="I80" i="15"/>
  <c r="J80" i="15"/>
  <c r="K80" i="15"/>
  <c r="L80" i="15"/>
  <c r="N80" i="15"/>
  <c r="O80" i="15"/>
  <c r="P80" i="15"/>
  <c r="Q80" i="15"/>
  <c r="R80" i="15"/>
  <c r="T80" i="15"/>
  <c r="U80" i="15"/>
  <c r="V80" i="15"/>
  <c r="X80" i="15"/>
  <c r="Y80" i="15"/>
  <c r="Z80" i="15"/>
  <c r="F79" i="15"/>
  <c r="G79" i="15"/>
  <c r="H79" i="15"/>
  <c r="I79" i="15"/>
  <c r="J79" i="15"/>
  <c r="K79" i="15"/>
  <c r="L79" i="15"/>
  <c r="M79" i="15"/>
  <c r="N79" i="15"/>
  <c r="O79" i="15"/>
  <c r="P79" i="15"/>
  <c r="R79" i="15"/>
  <c r="T79" i="15"/>
  <c r="U79" i="15"/>
  <c r="V79" i="15"/>
  <c r="X79" i="15"/>
  <c r="Y79" i="15"/>
  <c r="Z79" i="15"/>
  <c r="F78" i="15"/>
  <c r="G78" i="15"/>
  <c r="H78" i="15"/>
  <c r="I78" i="15"/>
  <c r="J78" i="15"/>
  <c r="K78" i="15"/>
  <c r="L78" i="15"/>
  <c r="M78" i="15"/>
  <c r="N78" i="15"/>
  <c r="O78" i="15"/>
  <c r="P78" i="15"/>
  <c r="Q78" i="15"/>
  <c r="R78" i="15"/>
  <c r="T78" i="15"/>
  <c r="U78" i="15"/>
  <c r="V78" i="15"/>
  <c r="X78" i="15"/>
  <c r="Y78" i="15"/>
  <c r="Z78" i="15"/>
  <c r="G77" i="15"/>
  <c r="H77" i="15"/>
  <c r="I77" i="15"/>
  <c r="J77" i="15"/>
  <c r="K77" i="15"/>
  <c r="L77" i="15"/>
  <c r="M77" i="15"/>
  <c r="N77" i="15"/>
  <c r="O77" i="15"/>
  <c r="P77" i="15"/>
  <c r="Q77" i="15"/>
  <c r="R77" i="15"/>
  <c r="T77" i="15"/>
  <c r="U77" i="15"/>
  <c r="V77" i="15"/>
  <c r="X77" i="15"/>
  <c r="Y77" i="15"/>
  <c r="Z77" i="15"/>
  <c r="F75" i="15"/>
  <c r="G75" i="15"/>
  <c r="H75" i="15"/>
  <c r="I75" i="15"/>
  <c r="J75" i="15"/>
  <c r="K75" i="15"/>
  <c r="L75" i="15"/>
  <c r="M75" i="15"/>
  <c r="N75" i="15"/>
  <c r="O75" i="15"/>
  <c r="P75" i="15"/>
  <c r="Q75" i="15"/>
  <c r="R75" i="15"/>
  <c r="T75" i="15"/>
  <c r="U75" i="15"/>
  <c r="V75" i="15"/>
  <c r="X75" i="15"/>
  <c r="Y75" i="15"/>
  <c r="Z75" i="15"/>
  <c r="F76" i="15"/>
  <c r="G76" i="15"/>
  <c r="H76" i="15"/>
  <c r="I76" i="15"/>
  <c r="J76" i="15"/>
  <c r="K76" i="15"/>
  <c r="L76" i="15"/>
  <c r="M76" i="15"/>
  <c r="N76" i="15"/>
  <c r="O76" i="15"/>
  <c r="P76" i="15"/>
  <c r="Q76" i="15"/>
  <c r="R76" i="15"/>
  <c r="T76" i="15"/>
  <c r="U76" i="15"/>
  <c r="V76" i="15"/>
  <c r="Y76" i="15"/>
  <c r="Z76" i="15"/>
  <c r="G74" i="15"/>
  <c r="H74" i="15"/>
  <c r="I74" i="15"/>
  <c r="J74" i="15"/>
  <c r="K74" i="15"/>
  <c r="L74" i="15"/>
  <c r="M74" i="15"/>
  <c r="N74" i="15"/>
  <c r="O74" i="15"/>
  <c r="P74" i="15"/>
  <c r="Q74" i="15"/>
  <c r="R74" i="15"/>
  <c r="T74" i="15"/>
  <c r="V74" i="15"/>
  <c r="X74" i="15"/>
  <c r="Y74" i="15"/>
  <c r="Z74" i="15"/>
  <c r="F74" i="15"/>
  <c r="F73" i="15"/>
  <c r="G73" i="15"/>
  <c r="H73" i="15"/>
  <c r="I73" i="15"/>
  <c r="J73" i="15"/>
  <c r="K73" i="15"/>
  <c r="L73" i="15"/>
  <c r="M73" i="15"/>
  <c r="N73" i="15"/>
  <c r="O73" i="15"/>
  <c r="P73" i="15"/>
  <c r="R73" i="15"/>
  <c r="T73" i="15"/>
  <c r="V73" i="15"/>
  <c r="X73" i="15"/>
  <c r="Y73" i="15"/>
  <c r="Z73" i="15"/>
  <c r="G72" i="15"/>
  <c r="H72" i="15"/>
  <c r="I72" i="15"/>
  <c r="J72" i="15"/>
  <c r="K72" i="15"/>
  <c r="L72" i="15"/>
  <c r="M72" i="15"/>
  <c r="N72" i="15"/>
  <c r="O72" i="15"/>
  <c r="P72" i="15"/>
  <c r="Q72" i="15"/>
  <c r="R72" i="15"/>
  <c r="T72" i="15"/>
  <c r="V72" i="15"/>
  <c r="X72" i="15"/>
  <c r="Y72" i="15"/>
  <c r="Z72" i="15"/>
  <c r="F71" i="15"/>
  <c r="G71" i="15"/>
  <c r="H71" i="15"/>
  <c r="I71" i="15"/>
  <c r="J71" i="15"/>
  <c r="K71" i="15"/>
  <c r="L71" i="15"/>
  <c r="M71" i="15"/>
  <c r="N71" i="15"/>
  <c r="O71" i="15"/>
  <c r="P71" i="15"/>
  <c r="Q71" i="15"/>
  <c r="R71" i="15"/>
  <c r="T71" i="15"/>
  <c r="U71" i="15"/>
  <c r="Y71" i="15"/>
  <c r="Z71" i="15"/>
  <c r="F70" i="15"/>
  <c r="G70" i="15"/>
  <c r="H70" i="15"/>
  <c r="I70" i="15"/>
  <c r="J70" i="15"/>
  <c r="K70" i="15"/>
  <c r="L70" i="15"/>
  <c r="M70" i="15"/>
  <c r="N70" i="15"/>
  <c r="O70" i="15"/>
  <c r="P70" i="15"/>
  <c r="Q70" i="15"/>
  <c r="R70" i="15"/>
  <c r="T70" i="15"/>
  <c r="U70" i="15"/>
  <c r="V70" i="15"/>
  <c r="X70" i="15"/>
  <c r="Y70" i="15"/>
  <c r="Z70" i="15"/>
  <c r="G69" i="15"/>
  <c r="H69" i="15"/>
  <c r="I69" i="15"/>
  <c r="J69" i="15"/>
  <c r="K69" i="15"/>
  <c r="L69" i="15"/>
  <c r="M69" i="15"/>
  <c r="N69" i="15"/>
  <c r="O69" i="15"/>
  <c r="P69" i="15"/>
  <c r="Q69" i="15"/>
  <c r="R69" i="15"/>
  <c r="T69" i="15"/>
  <c r="U69" i="15"/>
  <c r="V69" i="15"/>
  <c r="X69" i="15"/>
  <c r="Y69" i="15"/>
  <c r="Z69" i="15"/>
  <c r="G68" i="15"/>
  <c r="H68" i="15"/>
  <c r="I68" i="15"/>
  <c r="J68" i="15"/>
  <c r="K68" i="15"/>
  <c r="L68" i="15"/>
  <c r="M68" i="15"/>
  <c r="N68" i="15"/>
  <c r="O68" i="15"/>
  <c r="P68" i="15"/>
  <c r="R68" i="15"/>
  <c r="V68" i="15"/>
  <c r="X68" i="15"/>
  <c r="Y68" i="15"/>
  <c r="Z68" i="15"/>
  <c r="F66" i="15"/>
  <c r="G66" i="15"/>
  <c r="H66" i="15"/>
  <c r="I66" i="15"/>
  <c r="J66" i="15"/>
  <c r="K66" i="15"/>
  <c r="L66" i="15"/>
  <c r="M66" i="15"/>
  <c r="N66" i="15"/>
  <c r="O66" i="15"/>
  <c r="P66" i="15"/>
  <c r="Q66" i="15"/>
  <c r="T66" i="15"/>
  <c r="U66" i="15"/>
  <c r="V66" i="15"/>
  <c r="X66" i="15"/>
  <c r="Y66" i="15"/>
  <c r="Z66" i="15"/>
  <c r="F67" i="15"/>
  <c r="G67" i="15"/>
  <c r="H67" i="15"/>
  <c r="I67" i="15"/>
  <c r="J67" i="15"/>
  <c r="K67" i="15"/>
  <c r="L67" i="15"/>
  <c r="N67" i="15"/>
  <c r="O67" i="15"/>
  <c r="P67" i="15"/>
  <c r="Q67" i="15"/>
  <c r="R67" i="15"/>
  <c r="T67" i="15"/>
  <c r="U67" i="15"/>
  <c r="V67" i="15"/>
  <c r="X67" i="15"/>
  <c r="Y67" i="15"/>
  <c r="Z67" i="15"/>
  <c r="G65" i="15"/>
  <c r="H65" i="15"/>
  <c r="I65" i="15"/>
  <c r="J65" i="15"/>
  <c r="K65" i="15"/>
  <c r="L65" i="15"/>
  <c r="N65" i="15"/>
  <c r="O65" i="15"/>
  <c r="P65" i="15"/>
  <c r="Q65" i="15"/>
  <c r="T65" i="15"/>
  <c r="U65" i="15"/>
  <c r="V65" i="15"/>
  <c r="X65" i="15"/>
  <c r="Y65" i="15"/>
  <c r="Z65" i="15"/>
  <c r="F63" i="15"/>
  <c r="G63" i="15"/>
  <c r="H63" i="15"/>
  <c r="I63" i="15"/>
  <c r="J63" i="15"/>
  <c r="K63" i="15"/>
  <c r="L63" i="15"/>
  <c r="N63" i="15"/>
  <c r="O63" i="15"/>
  <c r="P63" i="15"/>
  <c r="R63" i="15"/>
  <c r="T63" i="15"/>
  <c r="U63" i="15"/>
  <c r="V63" i="15"/>
  <c r="X63" i="15"/>
  <c r="Y63" i="15"/>
  <c r="Z63" i="15"/>
  <c r="F64" i="15"/>
  <c r="G64" i="15"/>
  <c r="H64" i="15"/>
  <c r="I64" i="15"/>
  <c r="J64" i="15"/>
  <c r="K64" i="15"/>
  <c r="L64" i="15"/>
  <c r="N64" i="15"/>
  <c r="O64" i="15"/>
  <c r="P64" i="15"/>
  <c r="Q64" i="15"/>
  <c r="R64" i="15"/>
  <c r="T64" i="15"/>
  <c r="U64" i="15"/>
  <c r="V64" i="15"/>
  <c r="X64" i="15"/>
  <c r="Y64" i="15"/>
  <c r="Z64" i="15"/>
  <c r="G62" i="15"/>
  <c r="H62" i="15"/>
  <c r="I62" i="15"/>
  <c r="J62" i="15"/>
  <c r="K62" i="15"/>
  <c r="L62" i="15"/>
  <c r="N62" i="15"/>
  <c r="O62" i="15"/>
  <c r="P62" i="15"/>
  <c r="Q62" i="15"/>
  <c r="R62" i="15"/>
  <c r="T62" i="15"/>
  <c r="U62" i="15"/>
  <c r="V62" i="15"/>
  <c r="X62" i="15"/>
  <c r="Y62" i="15"/>
  <c r="Z62" i="15"/>
  <c r="F61" i="15"/>
  <c r="G61" i="15"/>
  <c r="H61" i="15"/>
  <c r="I61" i="15"/>
  <c r="J61" i="15"/>
  <c r="K61" i="15"/>
  <c r="L61" i="15"/>
  <c r="M61" i="15"/>
  <c r="N61" i="15"/>
  <c r="O61" i="15"/>
  <c r="P61" i="15"/>
  <c r="Q61" i="15"/>
  <c r="R61" i="15"/>
  <c r="T61" i="15"/>
  <c r="U61" i="15"/>
  <c r="V61" i="15"/>
  <c r="Y61" i="15"/>
  <c r="Z61" i="15"/>
  <c r="F59" i="15"/>
  <c r="G59" i="15"/>
  <c r="H59" i="15"/>
  <c r="I59" i="15"/>
  <c r="J59" i="15"/>
  <c r="K59" i="15"/>
  <c r="L59" i="15"/>
  <c r="M59" i="15"/>
  <c r="N59" i="15"/>
  <c r="O59" i="15"/>
  <c r="P59" i="15"/>
  <c r="Q59" i="15"/>
  <c r="T59" i="15"/>
  <c r="U59" i="15"/>
  <c r="V59" i="15"/>
  <c r="Y59" i="15"/>
  <c r="Z59" i="15"/>
  <c r="F60" i="15"/>
  <c r="G60" i="15"/>
  <c r="H60" i="15"/>
  <c r="I60" i="15"/>
  <c r="J60" i="15"/>
  <c r="K60" i="15"/>
  <c r="L60" i="15"/>
  <c r="M60" i="15"/>
  <c r="N60" i="15"/>
  <c r="O60" i="15"/>
  <c r="P60" i="15"/>
  <c r="Q60" i="15"/>
  <c r="R60" i="15"/>
  <c r="T60" i="15"/>
  <c r="U60" i="15"/>
  <c r="V60" i="15"/>
  <c r="Y60" i="15"/>
  <c r="Z60" i="15"/>
  <c r="F57" i="15"/>
  <c r="G57" i="15"/>
  <c r="H57" i="15"/>
  <c r="I57" i="15"/>
  <c r="J57" i="15"/>
  <c r="K57" i="15"/>
  <c r="L57" i="15"/>
  <c r="N57" i="15"/>
  <c r="O57" i="15"/>
  <c r="P57" i="15"/>
  <c r="R57" i="15"/>
  <c r="T57" i="15"/>
  <c r="U57" i="15"/>
  <c r="V57" i="15"/>
  <c r="X57" i="15"/>
  <c r="Y57" i="15"/>
  <c r="Z57" i="15"/>
  <c r="F58" i="15"/>
  <c r="G58" i="15"/>
  <c r="H58" i="15"/>
  <c r="I58" i="15"/>
  <c r="J58" i="15"/>
  <c r="K58" i="15"/>
  <c r="L58" i="15"/>
  <c r="N58" i="15"/>
  <c r="O58" i="15"/>
  <c r="P58" i="15"/>
  <c r="Q58" i="15"/>
  <c r="R58" i="15"/>
  <c r="T58" i="15"/>
  <c r="U58" i="15"/>
  <c r="V58" i="15"/>
  <c r="X58" i="15"/>
  <c r="Y58" i="15"/>
  <c r="Z58" i="15"/>
  <c r="F55" i="15"/>
  <c r="G55" i="15"/>
  <c r="H55" i="15"/>
  <c r="I55" i="15"/>
  <c r="J55" i="15"/>
  <c r="K55" i="15"/>
  <c r="L55" i="15"/>
  <c r="N55" i="15"/>
  <c r="O55" i="15"/>
  <c r="P55" i="15"/>
  <c r="Q55" i="15"/>
  <c r="R55" i="15"/>
  <c r="T55" i="15"/>
  <c r="X55" i="15"/>
  <c r="Y55" i="15"/>
  <c r="Z55" i="15"/>
  <c r="F56" i="15"/>
  <c r="G56" i="15"/>
  <c r="H56" i="15"/>
  <c r="I56" i="15"/>
  <c r="J56" i="15"/>
  <c r="K56" i="15"/>
  <c r="L56" i="15"/>
  <c r="N56" i="15"/>
  <c r="O56" i="15"/>
  <c r="P56" i="15"/>
  <c r="R56" i="15"/>
  <c r="T56" i="15"/>
  <c r="U56" i="15"/>
  <c r="V56" i="15"/>
  <c r="X56" i="15"/>
  <c r="Y56" i="15"/>
  <c r="Z56" i="15"/>
  <c r="F54" i="15"/>
  <c r="G54" i="15"/>
  <c r="H54" i="15"/>
  <c r="I54" i="15"/>
  <c r="J54" i="15"/>
  <c r="K54" i="15"/>
  <c r="L54" i="15"/>
  <c r="M54" i="15"/>
  <c r="N54" i="15"/>
  <c r="O54" i="15"/>
  <c r="P54" i="15"/>
  <c r="R54" i="15"/>
  <c r="T54" i="15"/>
  <c r="U54" i="15"/>
  <c r="V54" i="15"/>
  <c r="W54" i="15"/>
  <c r="Y54" i="15"/>
  <c r="Z54" i="15"/>
  <c r="F53" i="15"/>
  <c r="G53" i="15"/>
  <c r="H53" i="15"/>
  <c r="I53" i="15"/>
  <c r="J53" i="15"/>
  <c r="K53" i="15"/>
  <c r="L53" i="15"/>
  <c r="M53" i="15"/>
  <c r="N53" i="15"/>
  <c r="O53" i="15"/>
  <c r="P53" i="15"/>
  <c r="Q53" i="15"/>
  <c r="R53" i="15"/>
  <c r="T53" i="15"/>
  <c r="U53" i="15"/>
  <c r="V53" i="15"/>
  <c r="W53" i="15"/>
  <c r="X53" i="15"/>
  <c r="Y53" i="15"/>
  <c r="Z53" i="15"/>
  <c r="F52" i="15"/>
  <c r="G52" i="15"/>
  <c r="H52" i="15"/>
  <c r="I52" i="15"/>
  <c r="J52" i="15"/>
  <c r="K52" i="15"/>
  <c r="L52" i="15"/>
  <c r="N52" i="15"/>
  <c r="O52" i="15"/>
  <c r="P52" i="15"/>
  <c r="R52" i="15"/>
  <c r="T52" i="15"/>
  <c r="U52" i="15"/>
  <c r="V52" i="15"/>
  <c r="X52" i="15"/>
  <c r="Y52" i="15"/>
  <c r="Z52" i="15"/>
  <c r="F50" i="15"/>
  <c r="G50" i="15"/>
  <c r="H50" i="15"/>
  <c r="I50" i="15"/>
  <c r="J50" i="15"/>
  <c r="K50" i="15"/>
  <c r="L50" i="15"/>
  <c r="N50" i="15"/>
  <c r="O50" i="15"/>
  <c r="P50" i="15"/>
  <c r="Q50" i="15"/>
  <c r="R50" i="15"/>
  <c r="T50" i="15"/>
  <c r="U50" i="15"/>
  <c r="V50" i="15"/>
  <c r="X50" i="15"/>
  <c r="Y50" i="15"/>
  <c r="Z50" i="15"/>
  <c r="F51" i="15"/>
  <c r="G51" i="15"/>
  <c r="H51" i="15"/>
  <c r="I51" i="15"/>
  <c r="J51" i="15"/>
  <c r="K51" i="15"/>
  <c r="L51" i="15"/>
  <c r="N51" i="15"/>
  <c r="O51" i="15"/>
  <c r="P51" i="15"/>
  <c r="Q51" i="15"/>
  <c r="R51" i="15"/>
  <c r="T51" i="15"/>
  <c r="U51" i="15"/>
  <c r="V51" i="15"/>
  <c r="X51" i="15"/>
  <c r="Y51" i="15"/>
  <c r="Z51" i="15"/>
  <c r="F47" i="15"/>
  <c r="G47" i="15"/>
  <c r="H47" i="15"/>
  <c r="I47" i="15"/>
  <c r="J47" i="15"/>
  <c r="K47" i="15"/>
  <c r="L47" i="15"/>
  <c r="M47" i="15"/>
  <c r="N47" i="15"/>
  <c r="O47" i="15"/>
  <c r="P47" i="15"/>
  <c r="Q47" i="15"/>
  <c r="R47" i="15"/>
  <c r="T47" i="15"/>
  <c r="U47" i="15"/>
  <c r="V47" i="15"/>
  <c r="X47" i="15"/>
  <c r="Y47" i="15"/>
  <c r="Z47" i="15"/>
  <c r="F48" i="15"/>
  <c r="G48" i="15"/>
  <c r="H48" i="15"/>
  <c r="I48" i="15"/>
  <c r="J48" i="15"/>
  <c r="K48" i="15"/>
  <c r="L48" i="15"/>
  <c r="M48" i="15"/>
  <c r="N48" i="15"/>
  <c r="O48" i="15"/>
  <c r="P48" i="15"/>
  <c r="Q48" i="15"/>
  <c r="R48" i="15"/>
  <c r="T48" i="15"/>
  <c r="U48" i="15"/>
  <c r="V48" i="15"/>
  <c r="X48" i="15"/>
  <c r="Y48" i="15"/>
  <c r="Z48" i="15"/>
  <c r="F49" i="15"/>
  <c r="G49" i="15"/>
  <c r="H49" i="15"/>
  <c r="I49" i="15"/>
  <c r="J49" i="15"/>
  <c r="K49" i="15"/>
  <c r="L49" i="15"/>
  <c r="M49" i="15"/>
  <c r="N49" i="15"/>
  <c r="O49" i="15"/>
  <c r="P49" i="15"/>
  <c r="Q49" i="15"/>
  <c r="R49" i="15"/>
  <c r="T49" i="15"/>
  <c r="U49" i="15"/>
  <c r="V49" i="15"/>
  <c r="X49" i="15"/>
  <c r="Y49" i="15"/>
  <c r="Z49" i="15"/>
  <c r="G46" i="15"/>
  <c r="H46" i="15"/>
  <c r="I46" i="15"/>
  <c r="J46" i="15"/>
  <c r="K46" i="15"/>
  <c r="L46" i="15"/>
  <c r="M46" i="15"/>
  <c r="N46" i="15"/>
  <c r="O46" i="15"/>
  <c r="P46" i="15"/>
  <c r="Q46" i="15"/>
  <c r="R46" i="15"/>
  <c r="T46" i="15"/>
  <c r="U46" i="15"/>
  <c r="V46" i="15"/>
  <c r="X46" i="15"/>
  <c r="Y46" i="15"/>
  <c r="Z46" i="15"/>
  <c r="G45" i="15"/>
  <c r="H45" i="15"/>
  <c r="I45" i="15"/>
  <c r="J45" i="15"/>
  <c r="K45" i="15"/>
  <c r="L45" i="15"/>
  <c r="M45" i="15"/>
  <c r="N45" i="15"/>
  <c r="O45" i="15"/>
  <c r="P45" i="15"/>
  <c r="Q45" i="15"/>
  <c r="R45" i="15"/>
  <c r="T45" i="15"/>
  <c r="V45" i="15"/>
  <c r="X45" i="15"/>
  <c r="Y45" i="15"/>
  <c r="Z45" i="15"/>
  <c r="F45" i="15"/>
  <c r="J44" i="15"/>
  <c r="K44" i="15"/>
  <c r="L44" i="15"/>
  <c r="N44" i="15"/>
  <c r="O44" i="15"/>
  <c r="P44" i="15"/>
  <c r="Q44" i="15"/>
  <c r="R44" i="15"/>
  <c r="T44" i="15"/>
  <c r="U44" i="15"/>
  <c r="V44" i="15"/>
  <c r="X44" i="15"/>
  <c r="Y44" i="15"/>
  <c r="Z44" i="15"/>
  <c r="I43" i="15"/>
  <c r="J43" i="15"/>
  <c r="K43" i="15"/>
  <c r="L43" i="15"/>
  <c r="M43" i="15"/>
  <c r="N43" i="15"/>
  <c r="O43" i="15"/>
  <c r="P43" i="15"/>
  <c r="R43" i="15"/>
  <c r="T43" i="15"/>
  <c r="U43" i="15"/>
  <c r="V43" i="15"/>
  <c r="X43" i="15"/>
  <c r="Y43" i="15"/>
  <c r="Z43" i="15"/>
  <c r="I41" i="15"/>
  <c r="J41" i="15"/>
  <c r="K41" i="15"/>
  <c r="L41" i="15"/>
  <c r="M41" i="15"/>
  <c r="N41" i="15"/>
  <c r="O41" i="15"/>
  <c r="P41" i="15"/>
  <c r="Q41" i="15"/>
  <c r="R41" i="15"/>
  <c r="T41" i="15"/>
  <c r="U41" i="15"/>
  <c r="V41" i="15"/>
  <c r="X41" i="15"/>
  <c r="Y41" i="15"/>
  <c r="Z41" i="15"/>
  <c r="I42" i="15"/>
  <c r="J42" i="15"/>
  <c r="K42" i="15"/>
  <c r="L42" i="15"/>
  <c r="M42" i="15"/>
  <c r="N42" i="15"/>
  <c r="O42" i="15"/>
  <c r="P42" i="15"/>
  <c r="Q42" i="15"/>
  <c r="R42" i="15"/>
  <c r="T42" i="15"/>
  <c r="U42" i="15"/>
  <c r="V42" i="15"/>
  <c r="X42" i="15"/>
  <c r="Y42" i="15"/>
  <c r="Z42" i="15"/>
  <c r="I39" i="15"/>
  <c r="J39" i="15"/>
  <c r="K39" i="15"/>
  <c r="L39" i="15"/>
  <c r="N39" i="15"/>
  <c r="O39" i="15"/>
  <c r="P39" i="15"/>
  <c r="R39" i="15"/>
  <c r="T39" i="15"/>
  <c r="U39" i="15"/>
  <c r="V39" i="15"/>
  <c r="X39" i="15"/>
  <c r="Y39" i="15"/>
  <c r="Z39" i="15"/>
  <c r="I40" i="15"/>
  <c r="J40" i="15"/>
  <c r="K40" i="15"/>
  <c r="L40" i="15"/>
  <c r="M40" i="15"/>
  <c r="N40" i="15"/>
  <c r="O40" i="15"/>
  <c r="P40" i="15"/>
  <c r="R40" i="15"/>
  <c r="T40" i="15"/>
  <c r="U40" i="15"/>
  <c r="V40" i="15"/>
  <c r="W40" i="15"/>
  <c r="Y40" i="15"/>
  <c r="Z40" i="15"/>
  <c r="I37" i="15"/>
  <c r="J37" i="15"/>
  <c r="K37" i="15"/>
  <c r="L37" i="15"/>
  <c r="M37" i="15"/>
  <c r="N37" i="15"/>
  <c r="O37" i="15"/>
  <c r="P37" i="15"/>
  <c r="Q37" i="15"/>
  <c r="R37" i="15"/>
  <c r="T37" i="15"/>
  <c r="U37" i="15"/>
  <c r="V37" i="15"/>
  <c r="X37" i="15"/>
  <c r="Y37" i="15"/>
  <c r="Z37" i="15"/>
  <c r="I38" i="15"/>
  <c r="J38" i="15"/>
  <c r="K38" i="15"/>
  <c r="L38" i="15"/>
  <c r="M38" i="15"/>
  <c r="N38" i="15"/>
  <c r="O38" i="15"/>
  <c r="P38" i="15"/>
  <c r="R38" i="15"/>
  <c r="T38" i="15"/>
  <c r="V38" i="15"/>
  <c r="X38" i="15"/>
  <c r="Y38" i="15"/>
  <c r="Z38" i="15"/>
  <c r="J36" i="15"/>
  <c r="K36" i="15"/>
  <c r="L36" i="15"/>
  <c r="M36" i="15"/>
  <c r="N36" i="15"/>
  <c r="O36" i="15"/>
  <c r="P36" i="15"/>
  <c r="R36" i="15"/>
  <c r="T36" i="15"/>
  <c r="V36" i="15"/>
  <c r="X36" i="15"/>
  <c r="Y36" i="15"/>
  <c r="Z36" i="15"/>
  <c r="F35" i="15"/>
  <c r="G35" i="15"/>
  <c r="H35" i="15"/>
  <c r="I35" i="15"/>
  <c r="J35" i="15"/>
  <c r="K35" i="15"/>
  <c r="L35" i="15"/>
  <c r="M35" i="15"/>
  <c r="N35" i="15"/>
  <c r="O35" i="15"/>
  <c r="P35" i="15"/>
  <c r="R35" i="15"/>
  <c r="T35" i="15"/>
  <c r="U35" i="15"/>
  <c r="V35" i="15"/>
  <c r="Y35" i="15"/>
  <c r="Z35" i="15"/>
  <c r="F32" i="15"/>
  <c r="G32" i="15"/>
  <c r="H32" i="15"/>
  <c r="I32" i="15"/>
  <c r="J32" i="15"/>
  <c r="K32" i="15"/>
  <c r="L32" i="15"/>
  <c r="M32" i="15"/>
  <c r="N32" i="15"/>
  <c r="O32" i="15"/>
  <c r="P32" i="15"/>
  <c r="R32" i="15"/>
  <c r="T32" i="15"/>
  <c r="V32" i="15"/>
  <c r="X32" i="15"/>
  <c r="Y32" i="15"/>
  <c r="Z32" i="15"/>
  <c r="F33" i="15"/>
  <c r="G33" i="15"/>
  <c r="H33" i="15"/>
  <c r="I33" i="15"/>
  <c r="J33" i="15"/>
  <c r="K33" i="15"/>
  <c r="L33" i="15"/>
  <c r="M33" i="15"/>
  <c r="N33" i="15"/>
  <c r="O33" i="15"/>
  <c r="P33" i="15"/>
  <c r="Q33" i="15"/>
  <c r="R33" i="15"/>
  <c r="T33" i="15"/>
  <c r="U33" i="15"/>
  <c r="V33" i="15"/>
  <c r="X33" i="15"/>
  <c r="Y33" i="15"/>
  <c r="Z33" i="15"/>
  <c r="F34" i="15"/>
  <c r="G34" i="15"/>
  <c r="H34" i="15"/>
  <c r="I34" i="15"/>
  <c r="J34" i="15"/>
  <c r="K34" i="15"/>
  <c r="L34" i="15"/>
  <c r="M34" i="15"/>
  <c r="N34" i="15"/>
  <c r="O34" i="15"/>
  <c r="P34" i="15"/>
  <c r="Q34" i="15"/>
  <c r="R34" i="15"/>
  <c r="T34" i="15"/>
  <c r="U34" i="15"/>
  <c r="V34" i="15"/>
  <c r="X34" i="15"/>
  <c r="Y34" i="15"/>
  <c r="Z34" i="15"/>
  <c r="G31" i="15"/>
  <c r="H31" i="15"/>
  <c r="I31" i="15"/>
  <c r="J31" i="15"/>
  <c r="K31" i="15"/>
  <c r="L31" i="15"/>
  <c r="M31" i="15"/>
  <c r="N31" i="15"/>
  <c r="O31" i="15"/>
  <c r="P31" i="15"/>
  <c r="R31" i="15"/>
  <c r="T31" i="15"/>
  <c r="V31" i="15"/>
  <c r="X31" i="15"/>
  <c r="Y31" i="15"/>
  <c r="Z31" i="15"/>
  <c r="G30" i="15"/>
  <c r="H30" i="15"/>
  <c r="I30" i="15"/>
  <c r="J30" i="15"/>
  <c r="K30" i="15"/>
  <c r="L30" i="15"/>
  <c r="M30" i="15"/>
  <c r="N30" i="15"/>
  <c r="O30" i="15"/>
  <c r="P30" i="15"/>
  <c r="Q30" i="15"/>
  <c r="T30" i="15"/>
  <c r="U30" i="15"/>
  <c r="Y30" i="15"/>
  <c r="Z30" i="15"/>
  <c r="G29" i="15"/>
  <c r="H29" i="15"/>
  <c r="I29" i="15"/>
  <c r="J29" i="15"/>
  <c r="K29" i="15"/>
  <c r="L29" i="15"/>
  <c r="M29" i="15"/>
  <c r="N29" i="15"/>
  <c r="O29" i="15"/>
  <c r="P29" i="15"/>
  <c r="Q29" i="15"/>
  <c r="R29" i="15"/>
  <c r="T29" i="15"/>
  <c r="U29" i="15"/>
  <c r="V29" i="15"/>
  <c r="Y29" i="15"/>
  <c r="Z29" i="15"/>
  <c r="G28" i="15"/>
  <c r="H28" i="15"/>
  <c r="I28" i="15"/>
  <c r="J28" i="15"/>
  <c r="K28" i="15"/>
  <c r="L28" i="15"/>
  <c r="N28" i="15"/>
  <c r="O28" i="15"/>
  <c r="P28" i="15"/>
  <c r="Q28" i="15"/>
  <c r="R28" i="15"/>
  <c r="T28" i="15"/>
  <c r="U28" i="15"/>
  <c r="V28" i="15"/>
  <c r="X28" i="15"/>
  <c r="Y28" i="15"/>
  <c r="Z28" i="15"/>
  <c r="G27" i="15"/>
  <c r="H27" i="15"/>
  <c r="I27" i="15"/>
  <c r="J27" i="15"/>
  <c r="K27" i="15"/>
  <c r="L27" i="15"/>
  <c r="N27" i="15"/>
  <c r="O27" i="15"/>
  <c r="P27" i="15"/>
  <c r="Q27" i="15"/>
  <c r="R27" i="15"/>
  <c r="T27" i="15"/>
  <c r="U27" i="15"/>
  <c r="V27" i="15"/>
  <c r="X27" i="15"/>
  <c r="Y27" i="15"/>
  <c r="Z27" i="15"/>
  <c r="G26" i="15"/>
  <c r="H26" i="15"/>
  <c r="I26" i="15"/>
  <c r="J26" i="15"/>
  <c r="K26" i="15"/>
  <c r="L26" i="15"/>
  <c r="N26" i="15"/>
  <c r="O26" i="15"/>
  <c r="P26" i="15"/>
  <c r="Q26" i="15"/>
  <c r="R26" i="15"/>
  <c r="T26" i="15"/>
  <c r="U26" i="15"/>
  <c r="X26" i="15"/>
  <c r="Y26" i="15"/>
  <c r="Z26" i="15"/>
  <c r="J25" i="15"/>
  <c r="K25" i="15"/>
  <c r="L25" i="15"/>
  <c r="N25" i="15"/>
  <c r="O25" i="15"/>
  <c r="P25" i="15"/>
  <c r="Q25" i="15"/>
  <c r="R25" i="15"/>
  <c r="T25" i="15"/>
  <c r="U25" i="15"/>
  <c r="X25" i="15"/>
  <c r="Y25" i="15"/>
  <c r="Z25" i="15"/>
  <c r="J23" i="15"/>
  <c r="K23" i="15"/>
  <c r="L23" i="15"/>
  <c r="N23" i="15"/>
  <c r="O23" i="15"/>
  <c r="P23" i="15"/>
  <c r="Q23" i="15"/>
  <c r="R23" i="15"/>
  <c r="T23" i="15"/>
  <c r="U23" i="15"/>
  <c r="X23" i="15"/>
  <c r="Y23" i="15"/>
  <c r="Z23" i="15"/>
  <c r="G24" i="15"/>
  <c r="H24" i="15"/>
  <c r="I24" i="15"/>
  <c r="J24" i="15"/>
  <c r="K24" i="15"/>
  <c r="L24" i="15"/>
  <c r="N24" i="15"/>
  <c r="O24" i="15"/>
  <c r="P24" i="15"/>
  <c r="Q24" i="15"/>
  <c r="R24" i="15"/>
  <c r="T24" i="15"/>
  <c r="U24" i="15"/>
  <c r="X24" i="15"/>
  <c r="Y24" i="15"/>
  <c r="Z24" i="15"/>
  <c r="F23" i="15"/>
  <c r="F22" i="15"/>
  <c r="G22" i="15"/>
  <c r="H22" i="15"/>
  <c r="I22" i="15"/>
  <c r="J22" i="15"/>
  <c r="K22" i="15"/>
  <c r="L22" i="15"/>
  <c r="M22" i="15"/>
  <c r="N22" i="15"/>
  <c r="O22" i="15"/>
  <c r="P22" i="15"/>
  <c r="Q22" i="15"/>
  <c r="R22" i="15"/>
  <c r="T22" i="15"/>
  <c r="V22" i="15"/>
  <c r="Y22" i="15"/>
  <c r="Z22" i="15"/>
  <c r="F21" i="15"/>
  <c r="G21" i="15"/>
  <c r="H21" i="15"/>
  <c r="I21" i="15"/>
  <c r="J21" i="15"/>
  <c r="K21" i="15"/>
  <c r="L21" i="15"/>
  <c r="N21" i="15"/>
  <c r="O21" i="15"/>
  <c r="P21" i="15"/>
  <c r="Q21" i="15"/>
  <c r="R21" i="15"/>
  <c r="T21" i="15"/>
  <c r="U21" i="15"/>
  <c r="V21" i="15"/>
  <c r="X21" i="15"/>
  <c r="Y21" i="15"/>
  <c r="Z21" i="15"/>
  <c r="G20" i="15"/>
  <c r="H20" i="15"/>
  <c r="I20" i="15"/>
  <c r="J20" i="15"/>
  <c r="K20" i="15"/>
  <c r="L20" i="15"/>
  <c r="M20" i="15"/>
  <c r="N20" i="15"/>
  <c r="O20" i="15"/>
  <c r="P20" i="15"/>
  <c r="Q20" i="15"/>
  <c r="R20" i="15"/>
  <c r="T20" i="15"/>
  <c r="U20" i="15"/>
  <c r="X20" i="15"/>
  <c r="Y20" i="15"/>
  <c r="Z20" i="15"/>
  <c r="F17" i="15"/>
  <c r="G17" i="15"/>
  <c r="H17" i="15"/>
  <c r="I17" i="15"/>
  <c r="J17" i="15"/>
  <c r="K17" i="15"/>
  <c r="L17" i="15"/>
  <c r="M17" i="15"/>
  <c r="N17" i="15"/>
  <c r="O17" i="15"/>
  <c r="P17" i="15"/>
  <c r="Q17" i="15"/>
  <c r="R17" i="15"/>
  <c r="T17" i="15"/>
  <c r="U17" i="15"/>
  <c r="V17" i="15"/>
  <c r="Y17" i="15"/>
  <c r="Z17" i="15"/>
  <c r="F18" i="15"/>
  <c r="G18" i="15"/>
  <c r="H18" i="15"/>
  <c r="I18" i="15"/>
  <c r="J18" i="15"/>
  <c r="K18" i="15"/>
  <c r="L18" i="15"/>
  <c r="M18" i="15"/>
  <c r="N18" i="15"/>
  <c r="O18" i="15"/>
  <c r="P18" i="15"/>
  <c r="Q18" i="15"/>
  <c r="R18" i="15"/>
  <c r="T18" i="15"/>
  <c r="U18" i="15"/>
  <c r="X18" i="15"/>
  <c r="Y18" i="15"/>
  <c r="Z18" i="15"/>
  <c r="F19" i="15"/>
  <c r="G19" i="15"/>
  <c r="H19" i="15"/>
  <c r="I19" i="15"/>
  <c r="J19" i="15"/>
  <c r="K19" i="15"/>
  <c r="L19" i="15"/>
  <c r="M19" i="15"/>
  <c r="N19" i="15"/>
  <c r="O19" i="15"/>
  <c r="P19" i="15"/>
  <c r="Q19" i="15"/>
  <c r="R19" i="15"/>
  <c r="T19" i="15"/>
  <c r="U19" i="15"/>
  <c r="V19" i="15"/>
  <c r="X19" i="15"/>
  <c r="Y19" i="15"/>
  <c r="Z19" i="15"/>
  <c r="F20" i="15"/>
  <c r="G16" i="15"/>
  <c r="H16" i="15"/>
  <c r="I16" i="15"/>
  <c r="J16" i="15"/>
  <c r="K16" i="15"/>
  <c r="L16" i="15"/>
  <c r="N16" i="15"/>
  <c r="O16" i="15"/>
  <c r="P16" i="15"/>
  <c r="Q16" i="15"/>
  <c r="R16" i="15"/>
  <c r="T16" i="15"/>
  <c r="U16" i="15"/>
  <c r="V16" i="15"/>
  <c r="X16" i="15"/>
  <c r="Y16" i="15"/>
  <c r="Z16" i="15"/>
  <c r="G15" i="15"/>
  <c r="H15" i="15"/>
  <c r="I15" i="15"/>
  <c r="J15" i="15"/>
  <c r="K15" i="15"/>
  <c r="L15" i="15"/>
  <c r="M15" i="15"/>
  <c r="N15" i="15"/>
  <c r="O15" i="15"/>
  <c r="P15" i="15"/>
  <c r="R15" i="15"/>
  <c r="T15" i="15"/>
  <c r="U15" i="15"/>
  <c r="V15" i="15"/>
  <c r="W15" i="15"/>
  <c r="Y15" i="15"/>
  <c r="Z15" i="15"/>
  <c r="F8" i="15"/>
  <c r="G8" i="15"/>
  <c r="H8" i="15"/>
  <c r="I8" i="15"/>
  <c r="J8" i="15"/>
  <c r="K8" i="15"/>
  <c r="L8" i="15"/>
  <c r="M8" i="15"/>
  <c r="N8" i="15"/>
  <c r="O8" i="15"/>
  <c r="P8" i="15"/>
  <c r="Q8" i="15"/>
  <c r="R8" i="15"/>
  <c r="T8" i="15"/>
  <c r="U8" i="15"/>
  <c r="V8" i="15"/>
  <c r="W8" i="15"/>
  <c r="Y8" i="15"/>
  <c r="Z8" i="15"/>
  <c r="F9" i="15"/>
  <c r="G9" i="15"/>
  <c r="H9" i="15"/>
  <c r="I9" i="15"/>
  <c r="J9" i="15"/>
  <c r="K9" i="15"/>
  <c r="L9" i="15"/>
  <c r="M9" i="15"/>
  <c r="N9" i="15"/>
  <c r="O9" i="15"/>
  <c r="P9" i="15"/>
  <c r="R9" i="15"/>
  <c r="T9" i="15"/>
  <c r="V9" i="15"/>
  <c r="X9" i="15"/>
  <c r="Y9" i="15"/>
  <c r="Z9" i="15"/>
  <c r="F10" i="15"/>
  <c r="G10" i="15"/>
  <c r="H10" i="15"/>
  <c r="I10" i="15"/>
  <c r="J10" i="15"/>
  <c r="K10" i="15"/>
  <c r="L10" i="15"/>
  <c r="M10" i="15"/>
  <c r="N10" i="15"/>
  <c r="O10" i="15"/>
  <c r="P10" i="15"/>
  <c r="R10" i="15"/>
  <c r="T10" i="15"/>
  <c r="V10" i="15"/>
  <c r="X10" i="15"/>
  <c r="Y10" i="15"/>
  <c r="Z10" i="15"/>
  <c r="F11" i="15"/>
  <c r="G11" i="15"/>
  <c r="H11" i="15"/>
  <c r="I11" i="15"/>
  <c r="J11" i="15"/>
  <c r="K11" i="15"/>
  <c r="L11" i="15"/>
  <c r="M11" i="15"/>
  <c r="N11" i="15"/>
  <c r="O11" i="15"/>
  <c r="P11" i="15"/>
  <c r="Q11" i="15"/>
  <c r="R11" i="15"/>
  <c r="T11" i="15"/>
  <c r="V11" i="15"/>
  <c r="X11" i="15"/>
  <c r="Y11" i="15"/>
  <c r="Z11" i="15"/>
  <c r="F12" i="15"/>
  <c r="G12" i="15"/>
  <c r="H12" i="15"/>
  <c r="I12" i="15"/>
  <c r="J12" i="15"/>
  <c r="K12" i="15"/>
  <c r="L12" i="15"/>
  <c r="M12" i="15"/>
  <c r="N12" i="15"/>
  <c r="O12" i="15"/>
  <c r="P12" i="15"/>
  <c r="R12" i="15"/>
  <c r="T12" i="15"/>
  <c r="U12" i="15"/>
  <c r="V12" i="15"/>
  <c r="X12" i="15"/>
  <c r="Y12" i="15"/>
  <c r="Z12" i="15"/>
  <c r="F13" i="15"/>
  <c r="G13" i="15"/>
  <c r="H13" i="15"/>
  <c r="I13" i="15"/>
  <c r="J13" i="15"/>
  <c r="K13" i="15"/>
  <c r="L13" i="15"/>
  <c r="M13" i="15"/>
  <c r="N13" i="15"/>
  <c r="O13" i="15"/>
  <c r="P13" i="15"/>
  <c r="Q13" i="15"/>
  <c r="R13" i="15"/>
  <c r="T13" i="15"/>
  <c r="U13" i="15"/>
  <c r="V13" i="15"/>
  <c r="Y13" i="15"/>
  <c r="Z13" i="15"/>
  <c r="F14" i="15"/>
  <c r="G14" i="15"/>
  <c r="H14" i="15"/>
  <c r="I14" i="15"/>
  <c r="J14" i="15"/>
  <c r="K14" i="15"/>
  <c r="L14" i="15"/>
  <c r="M14" i="15"/>
  <c r="N14" i="15"/>
  <c r="O14" i="15"/>
  <c r="P14" i="15"/>
  <c r="R14" i="15"/>
  <c r="T14" i="15"/>
  <c r="X14" i="15"/>
  <c r="Y14" i="15"/>
  <c r="Z14" i="15"/>
  <c r="G7" i="15"/>
  <c r="H7" i="15"/>
  <c r="I7" i="15"/>
  <c r="J7" i="15"/>
  <c r="K7" i="15"/>
  <c r="L7" i="15"/>
  <c r="M7" i="15"/>
  <c r="N7" i="15"/>
  <c r="O7" i="15"/>
  <c r="P7" i="15"/>
  <c r="Q7" i="15"/>
  <c r="R7" i="15"/>
  <c r="T7" i="15"/>
  <c r="U7" i="15"/>
  <c r="V7" i="15"/>
  <c r="X7" i="15"/>
  <c r="Y7" i="15"/>
  <c r="Z7" i="15"/>
  <c r="F4" i="15"/>
  <c r="G4" i="15"/>
  <c r="H4" i="15"/>
  <c r="I4" i="15"/>
  <c r="J4" i="15"/>
  <c r="K4" i="15"/>
  <c r="L4" i="15"/>
  <c r="M4" i="15"/>
  <c r="N4" i="15"/>
  <c r="O4" i="15"/>
  <c r="P4" i="15"/>
  <c r="R4" i="15"/>
  <c r="T4" i="15"/>
  <c r="U4" i="15"/>
  <c r="V4" i="15"/>
  <c r="X4" i="15"/>
  <c r="Y4" i="15"/>
  <c r="Z4" i="15"/>
  <c r="F5" i="15"/>
  <c r="G5" i="15"/>
  <c r="H5" i="15"/>
  <c r="I5" i="15"/>
  <c r="J5" i="15"/>
  <c r="K5" i="15"/>
  <c r="L5" i="15"/>
  <c r="M5" i="15"/>
  <c r="N5" i="15"/>
  <c r="O5" i="15"/>
  <c r="P5" i="15"/>
  <c r="R5" i="15"/>
  <c r="T5" i="15"/>
  <c r="U5" i="15"/>
  <c r="V5" i="15"/>
  <c r="X5" i="15"/>
  <c r="Y5" i="15"/>
  <c r="Z5" i="15"/>
  <c r="F6" i="15"/>
  <c r="G6" i="15"/>
  <c r="H6" i="15"/>
  <c r="I6" i="15"/>
  <c r="J6" i="15"/>
  <c r="K6" i="15"/>
  <c r="L6" i="15"/>
  <c r="N6" i="15"/>
  <c r="O6" i="15"/>
  <c r="P6" i="15"/>
  <c r="R6" i="15"/>
  <c r="T6" i="15"/>
  <c r="U6" i="15"/>
  <c r="V6" i="15"/>
  <c r="X6" i="15"/>
  <c r="Y6" i="15"/>
  <c r="Z6" i="15"/>
  <c r="G3" i="15"/>
  <c r="H3" i="15"/>
  <c r="I3" i="15"/>
  <c r="J3" i="15"/>
  <c r="K3" i="15"/>
  <c r="L3" i="15"/>
  <c r="M3" i="15"/>
  <c r="N3" i="15"/>
  <c r="O3" i="15"/>
  <c r="P3" i="15"/>
  <c r="R3" i="15"/>
  <c r="T3" i="15"/>
  <c r="U3" i="15"/>
  <c r="V3" i="15"/>
  <c r="X3" i="15"/>
  <c r="Y3" i="15"/>
  <c r="Z3" i="15"/>
  <c r="F16" i="15"/>
  <c r="C38" i="15"/>
  <c r="B38" i="15"/>
  <c r="F37" i="15"/>
  <c r="F38" i="15"/>
  <c r="B43" i="15"/>
  <c r="C43" i="15"/>
  <c r="B44" i="15"/>
  <c r="C44" i="15"/>
  <c r="B41" i="15"/>
  <c r="C41" i="15"/>
  <c r="B42" i="15"/>
  <c r="C42" i="15"/>
  <c r="B40" i="15"/>
  <c r="C40" i="15"/>
  <c r="C39" i="15"/>
  <c r="B39" i="15"/>
  <c r="M29" i="14"/>
  <c r="O25" i="20"/>
  <c r="F109" i="15"/>
  <c r="Q113" i="15"/>
  <c r="J123" i="27"/>
  <c r="U114" i="19"/>
  <c r="U113" i="19"/>
  <c r="S113" i="15"/>
  <c r="S110" i="15"/>
  <c r="C40" i="14"/>
  <c r="D40" i="14"/>
  <c r="E40" i="14"/>
  <c r="N40" i="14"/>
  <c r="P40" i="14"/>
  <c r="Q40" i="14"/>
  <c r="R40" i="14"/>
  <c r="T40" i="14"/>
  <c r="U40" i="14"/>
  <c r="V40" i="14"/>
  <c r="C34" i="14"/>
  <c r="D34" i="14"/>
  <c r="E34" i="14"/>
  <c r="P34" i="14"/>
  <c r="Q34" i="14"/>
  <c r="R34" i="14"/>
  <c r="S34" i="14"/>
  <c r="T34" i="14"/>
  <c r="U34" i="14"/>
  <c r="V34" i="14"/>
  <c r="I6" i="16"/>
  <c r="W27" i="15"/>
  <c r="W16" i="15"/>
  <c r="X33" i="19"/>
  <c r="X32" i="19"/>
  <c r="X31" i="19"/>
  <c r="Y61" i="19"/>
  <c r="W57" i="15"/>
  <c r="W56" i="15"/>
  <c r="W92" i="15"/>
  <c r="X63" i="19"/>
  <c r="W63" i="19"/>
  <c r="L84" i="15"/>
  <c r="M27" i="14"/>
  <c r="O27" i="14"/>
  <c r="R65" i="15"/>
  <c r="T73" i="19"/>
  <c r="R59" i="15"/>
  <c r="P56" i="5"/>
  <c r="Q31" i="20" s="1"/>
  <c r="P64" i="5"/>
  <c r="O41" i="14" s="1"/>
  <c r="N62" i="5"/>
  <c r="Q54" i="15"/>
  <c r="T74" i="19"/>
  <c r="R90" i="15"/>
  <c r="O36" i="20"/>
  <c r="R30" i="15"/>
  <c r="T37" i="19"/>
  <c r="V30" i="15"/>
  <c r="Q52" i="15"/>
  <c r="S61" i="19"/>
  <c r="R87" i="15"/>
  <c r="T96" i="19"/>
  <c r="M33" i="14"/>
  <c r="R66" i="15"/>
  <c r="U37" i="20"/>
  <c r="Q44" i="14"/>
  <c r="W21" i="15"/>
  <c r="Y78" i="19"/>
  <c r="W69" i="15"/>
  <c r="AA27" i="15"/>
  <c r="AA26" i="15"/>
  <c r="AA25" i="15"/>
  <c r="AA24" i="15"/>
  <c r="AA23" i="15"/>
  <c r="AA22" i="15"/>
  <c r="AA21" i="15"/>
  <c r="AA20" i="15"/>
  <c r="AA19" i="15"/>
  <c r="AA29" i="15"/>
  <c r="U100" i="19"/>
  <c r="W28" i="15"/>
  <c r="Y95" i="19"/>
  <c r="Y99" i="19"/>
  <c r="W62" i="15"/>
  <c r="Y60" i="19"/>
  <c r="Y72" i="19"/>
  <c r="W67" i="15"/>
  <c r="Y66" i="19"/>
  <c r="Y89" i="19"/>
  <c r="Y94" i="19"/>
  <c r="W44" i="15"/>
  <c r="Q39" i="15"/>
  <c r="Q40" i="15"/>
  <c r="W39" i="15"/>
  <c r="W5" i="15"/>
  <c r="S40" i="15"/>
  <c r="F69" i="15"/>
  <c r="F86" i="15"/>
  <c r="F85" i="15"/>
  <c r="F65" i="15"/>
  <c r="F62" i="15"/>
  <c r="I44" i="15"/>
  <c r="G39" i="15"/>
  <c r="F39" i="15"/>
  <c r="I25" i="15"/>
  <c r="I23" i="15"/>
  <c r="F24" i="15"/>
  <c r="F25" i="15"/>
  <c r="F26" i="15"/>
  <c r="F27" i="15"/>
  <c r="F28" i="15"/>
  <c r="F29" i="15"/>
  <c r="F30" i="15"/>
  <c r="F15" i="15"/>
  <c r="Q24" i="14"/>
  <c r="W84" i="15"/>
  <c r="W112" i="15"/>
  <c r="Q35" i="15"/>
  <c r="P63" i="5"/>
  <c r="Q37" i="20" s="1"/>
  <c r="M7" i="14"/>
  <c r="M8" i="14"/>
  <c r="I85" i="27"/>
  <c r="U61" i="19"/>
  <c r="S53" i="15"/>
  <c r="J88" i="27"/>
  <c r="J91" i="27"/>
  <c r="I92" i="27"/>
  <c r="J93" i="27"/>
  <c r="J94" i="27"/>
  <c r="S80" i="15"/>
  <c r="S85" i="15"/>
  <c r="Q84" i="15"/>
  <c r="S93" i="19"/>
  <c r="S54" i="15"/>
  <c r="S22" i="15"/>
  <c r="U28" i="19"/>
  <c r="U96" i="19"/>
  <c r="S90" i="15"/>
  <c r="U99" i="19"/>
  <c r="J106" i="27"/>
  <c r="J97" i="27"/>
  <c r="U73" i="19"/>
  <c r="J99" i="27"/>
  <c r="I100" i="27"/>
  <c r="J95" i="27"/>
  <c r="Q63" i="15"/>
  <c r="U79" i="19"/>
  <c r="J103" i="27"/>
  <c r="J102" i="27"/>
  <c r="U42" i="19"/>
  <c r="S39" i="15"/>
  <c r="S88" i="15"/>
  <c r="I96" i="27"/>
  <c r="S44" i="15"/>
  <c r="J62" i="27"/>
  <c r="I63" i="27"/>
  <c r="S26" i="15"/>
  <c r="J65" i="27"/>
  <c r="I66" i="27"/>
  <c r="I67" i="27"/>
  <c r="U37" i="19"/>
  <c r="I61" i="27"/>
  <c r="U24" i="19"/>
  <c r="J56" i="27"/>
  <c r="I57" i="27"/>
  <c r="J58" i="27"/>
  <c r="U23" i="19"/>
  <c r="Q15" i="15"/>
  <c r="U6" i="20"/>
  <c r="W101" i="15"/>
  <c r="Q104" i="15"/>
  <c r="Q102" i="15"/>
  <c r="Q100" i="15"/>
  <c r="S104" i="15"/>
  <c r="U109" i="19"/>
  <c r="W6" i="15"/>
  <c r="U5" i="20"/>
  <c r="Q5" i="15"/>
  <c r="S5" i="19"/>
  <c r="Q6" i="15"/>
  <c r="S6" i="19"/>
  <c r="Y92" i="19"/>
  <c r="C4" i="14"/>
  <c r="P16" i="5"/>
  <c r="O4" i="14" s="1"/>
  <c r="M3" i="14"/>
  <c r="N17" i="5"/>
  <c r="U106" i="19"/>
  <c r="O6" i="20"/>
  <c r="M5" i="14"/>
  <c r="N94" i="5"/>
  <c r="Q95" i="15"/>
  <c r="W94" i="15"/>
  <c r="W105" i="15"/>
  <c r="V107" i="15"/>
  <c r="U107" i="15"/>
  <c r="G43" i="14"/>
  <c r="G39" i="14"/>
  <c r="H37" i="14"/>
  <c r="G37" i="14"/>
  <c r="H35" i="14"/>
  <c r="H36" i="14"/>
  <c r="H39" i="14"/>
  <c r="H43" i="14"/>
  <c r="P41" i="5"/>
  <c r="I21" i="27" s="1"/>
  <c r="S95" i="15"/>
  <c r="S72" i="15"/>
  <c r="C35" i="15"/>
  <c r="B35" i="15"/>
  <c r="C31" i="15"/>
  <c r="B31" i="15"/>
  <c r="W43" i="15"/>
  <c r="Y88" i="19"/>
  <c r="W33" i="15"/>
  <c r="P48" i="5"/>
  <c r="J22" i="27" s="1"/>
  <c r="M26" i="14"/>
  <c r="F7" i="15"/>
  <c r="F31" i="15"/>
  <c r="F36" i="15"/>
  <c r="G36" i="15"/>
  <c r="H36" i="15"/>
  <c r="I36" i="15"/>
  <c r="G37" i="15"/>
  <c r="H37" i="15"/>
  <c r="G38" i="15"/>
  <c r="H38" i="15"/>
  <c r="F41" i="15"/>
  <c r="G41" i="15"/>
  <c r="H41" i="15"/>
  <c r="F42" i="15"/>
  <c r="G42" i="15"/>
  <c r="H42" i="15"/>
  <c r="F43" i="15"/>
  <c r="G43" i="15"/>
  <c r="H43" i="15"/>
  <c r="F44" i="15"/>
  <c r="H44" i="15"/>
  <c r="F46" i="15"/>
  <c r="F68" i="15"/>
  <c r="F72" i="15"/>
  <c r="F77" i="15"/>
  <c r="F83" i="15"/>
  <c r="F84" i="15"/>
  <c r="G84" i="15"/>
  <c r="H84" i="15"/>
  <c r="I84" i="15"/>
  <c r="F93" i="15"/>
  <c r="F3" i="15"/>
  <c r="W3" i="15"/>
  <c r="W4" i="15"/>
  <c r="U5" i="19"/>
  <c r="S6" i="15"/>
  <c r="C43" i="14"/>
  <c r="D43" i="14"/>
  <c r="C42" i="14"/>
  <c r="C39" i="14"/>
  <c r="D39" i="14"/>
  <c r="C37" i="14"/>
  <c r="D37" i="14"/>
  <c r="C36" i="14"/>
  <c r="D36" i="14"/>
  <c r="C35" i="14"/>
  <c r="D35" i="14"/>
  <c r="Q3" i="15"/>
  <c r="S3" i="19"/>
  <c r="S4" i="19"/>
  <c r="J36" i="27"/>
  <c r="Q4" i="15"/>
  <c r="J35" i="27"/>
  <c r="B54" i="14"/>
  <c r="C54" i="14"/>
  <c r="B25" i="14"/>
  <c r="B20" i="14"/>
  <c r="C24" i="14"/>
  <c r="D24" i="14"/>
  <c r="E24" i="14"/>
  <c r="E44" i="14"/>
  <c r="F36" i="14"/>
  <c r="G36" i="14"/>
  <c r="I36" i="14"/>
  <c r="J36" i="14"/>
  <c r="K36" i="14"/>
  <c r="L36" i="14"/>
  <c r="M36" i="14"/>
  <c r="N36" i="14"/>
  <c r="P36" i="14"/>
  <c r="Q36" i="14"/>
  <c r="R36" i="14"/>
  <c r="T36" i="14"/>
  <c r="U36" i="14"/>
  <c r="V36" i="14"/>
  <c r="E36" i="14"/>
  <c r="F35" i="14"/>
  <c r="G35" i="14"/>
  <c r="I35" i="14"/>
  <c r="J35" i="14"/>
  <c r="K35" i="14"/>
  <c r="L35" i="14"/>
  <c r="M35" i="14"/>
  <c r="N35" i="14"/>
  <c r="P35" i="14"/>
  <c r="Q35" i="14"/>
  <c r="R35" i="14"/>
  <c r="T35" i="14"/>
  <c r="U35" i="14"/>
  <c r="V35" i="14"/>
  <c r="E35" i="14"/>
  <c r="C19" i="14"/>
  <c r="D19" i="14"/>
  <c r="B18" i="14"/>
  <c r="C18" i="14"/>
  <c r="D18" i="14"/>
  <c r="B17" i="14"/>
  <c r="C17" i="14"/>
  <c r="D17" i="14"/>
  <c r="C16" i="14"/>
  <c r="D16" i="14"/>
  <c r="C15" i="14"/>
  <c r="D15" i="14"/>
  <c r="C14" i="14"/>
  <c r="D14" i="14"/>
  <c r="C13" i="14"/>
  <c r="D13" i="14"/>
  <c r="C11" i="14"/>
  <c r="D11" i="14"/>
  <c r="E19" i="14"/>
  <c r="C7" i="14"/>
  <c r="D7" i="14"/>
  <c r="C53" i="14"/>
  <c r="N43" i="14"/>
  <c r="P43" i="14"/>
  <c r="Q43" i="14"/>
  <c r="R43" i="14"/>
  <c r="S43" i="14"/>
  <c r="T43" i="14"/>
  <c r="U43" i="14"/>
  <c r="V43" i="14"/>
  <c r="C48" i="14"/>
  <c r="C49" i="14"/>
  <c r="I43" i="14"/>
  <c r="J43" i="14"/>
  <c r="K43" i="14"/>
  <c r="L43" i="14"/>
  <c r="N39" i="14"/>
  <c r="P39" i="14"/>
  <c r="Q39" i="14"/>
  <c r="R39" i="14"/>
  <c r="S39" i="14"/>
  <c r="T39" i="14"/>
  <c r="U39" i="14"/>
  <c r="V39" i="14"/>
  <c r="N37" i="14"/>
  <c r="P37" i="14"/>
  <c r="Q37" i="14"/>
  <c r="R37" i="14"/>
  <c r="S37" i="14"/>
  <c r="T37" i="14"/>
  <c r="U37" i="14"/>
  <c r="V37" i="14"/>
  <c r="C6" i="14"/>
  <c r="D6" i="14"/>
  <c r="C3" i="14"/>
  <c r="D3" i="14"/>
  <c r="E3" i="14"/>
  <c r="C5" i="14"/>
  <c r="D5" i="14"/>
  <c r="C8" i="14"/>
  <c r="D8" i="14"/>
  <c r="C10" i="14"/>
  <c r="D10" i="14"/>
  <c r="E17" i="14"/>
  <c r="E18" i="14"/>
  <c r="E37" i="14"/>
  <c r="F37" i="14"/>
  <c r="I37" i="14"/>
  <c r="J37" i="14"/>
  <c r="K37" i="14"/>
  <c r="L37" i="14"/>
  <c r="M37" i="14"/>
  <c r="E39" i="14"/>
  <c r="F39" i="14"/>
  <c r="I39" i="14"/>
  <c r="J39" i="14"/>
  <c r="K39" i="14"/>
  <c r="L39" i="14"/>
  <c r="M39" i="14"/>
  <c r="E43" i="14"/>
  <c r="F43" i="14"/>
  <c r="M43" i="14"/>
  <c r="C2" i="14"/>
  <c r="D2" i="14"/>
  <c r="E2" i="14"/>
  <c r="U43" i="20"/>
  <c r="U42" i="20"/>
  <c r="W96" i="15"/>
  <c r="W80" i="19"/>
  <c r="I121" i="27"/>
  <c r="U84" i="19"/>
  <c r="S42" i="14"/>
  <c r="U32" i="20"/>
  <c r="U28" i="20"/>
  <c r="Y90" i="19"/>
  <c r="Y111" i="19"/>
  <c r="W103" i="15"/>
  <c r="W12" i="15"/>
  <c r="Y87" i="19"/>
  <c r="W37" i="15"/>
  <c r="Y50" i="19"/>
  <c r="U19" i="20"/>
  <c r="U16" i="20"/>
  <c r="U18" i="20"/>
  <c r="S46" i="19"/>
  <c r="Q79" i="15"/>
  <c r="S88" i="19"/>
  <c r="U38" i="15"/>
  <c r="Q38" i="15"/>
  <c r="U46" i="19"/>
  <c r="U88" i="19"/>
  <c r="Q99" i="15"/>
  <c r="Q93" i="15"/>
  <c r="S101" i="19"/>
  <c r="Q106" i="15"/>
  <c r="S111" i="19"/>
  <c r="U93" i="15"/>
  <c r="W77" i="15"/>
  <c r="Y57" i="19"/>
  <c r="W47" i="15"/>
  <c r="Y55" i="19"/>
  <c r="W42" i="15"/>
  <c r="U9" i="15"/>
  <c r="W10" i="19"/>
  <c r="U10" i="15"/>
  <c r="W11" i="19"/>
  <c r="U73" i="15"/>
  <c r="W81" i="19"/>
  <c r="U11" i="15"/>
  <c r="W12" i="19"/>
  <c r="U32" i="15"/>
  <c r="W39" i="19"/>
  <c r="U36" i="15"/>
  <c r="W44" i="19"/>
  <c r="Y39" i="19"/>
  <c r="W36" i="15"/>
  <c r="W9" i="15"/>
  <c r="Y11" i="19"/>
  <c r="Y81" i="19"/>
  <c r="W11" i="15"/>
  <c r="N39" i="5"/>
  <c r="M24" i="14"/>
  <c r="O20" i="20"/>
  <c r="W7" i="15"/>
  <c r="Y104" i="19"/>
  <c r="U20" i="20"/>
  <c r="P44" i="5"/>
  <c r="O26" i="14" s="1"/>
  <c r="U21" i="20"/>
  <c r="O7" i="14"/>
  <c r="Q83" i="15"/>
  <c r="S92" i="19"/>
  <c r="S100" i="15"/>
  <c r="W98" i="15"/>
  <c r="S6" i="14"/>
  <c r="U44" i="20"/>
  <c r="U41" i="20"/>
  <c r="Q31" i="14"/>
  <c r="Y59" i="19"/>
  <c r="V14" i="15"/>
  <c r="S31" i="14"/>
  <c r="H5" i="16"/>
  <c r="S74" i="15"/>
  <c r="Q31" i="15"/>
  <c r="S38" i="19"/>
  <c r="Q10" i="15"/>
  <c r="S11" i="19"/>
  <c r="S91" i="19"/>
  <c r="Q82" i="15"/>
  <c r="W38" i="19"/>
  <c r="Q36" i="15"/>
  <c r="S44" i="19"/>
  <c r="U92" i="19"/>
  <c r="U91" i="19"/>
  <c r="S33" i="15"/>
  <c r="J43" i="27"/>
  <c r="U7" i="19"/>
  <c r="Q68" i="15"/>
  <c r="S76" i="19"/>
  <c r="Q9" i="15"/>
  <c r="S10" i="19"/>
  <c r="Q43" i="15"/>
  <c r="S52" i="19"/>
  <c r="Q73" i="15"/>
  <c r="S81" i="19"/>
  <c r="S39" i="19"/>
  <c r="S15" i="15"/>
  <c r="S8" i="15"/>
  <c r="U8" i="19"/>
  <c r="Q32" i="15"/>
  <c r="O91" i="5"/>
  <c r="O92" i="5" s="1"/>
  <c r="N91" i="5"/>
  <c r="N92" i="5" s="1"/>
  <c r="P90" i="5"/>
  <c r="Q51" i="20" s="1"/>
  <c r="O88" i="5"/>
  <c r="P86" i="5"/>
  <c r="J34" i="27" s="1"/>
  <c r="O85" i="5"/>
  <c r="N85" i="5"/>
  <c r="P84" i="5"/>
  <c r="O52" i="14"/>
  <c r="P83" i="5"/>
  <c r="Q48" i="20"/>
  <c r="P81" i="5"/>
  <c r="I32" i="27" s="1"/>
  <c r="P80" i="5"/>
  <c r="I31" i="27" s="1"/>
  <c r="O79" i="5"/>
  <c r="N79" i="5"/>
  <c r="P78" i="5"/>
  <c r="P77" i="5"/>
  <c r="O77" i="5"/>
  <c r="N77" i="5"/>
  <c r="P68" i="5"/>
  <c r="P72" i="5" s="1"/>
  <c r="O66" i="5"/>
  <c r="N66" i="5"/>
  <c r="P65" i="5"/>
  <c r="Q39" i="20"/>
  <c r="P62" i="5"/>
  <c r="Q36" i="20" s="1"/>
  <c r="P60" i="5"/>
  <c r="O37" i="14" s="1"/>
  <c r="O59" i="5"/>
  <c r="N59" i="5"/>
  <c r="P58" i="5"/>
  <c r="Q33" i="20" s="1"/>
  <c r="P57" i="5"/>
  <c r="O35" i="14" s="1"/>
  <c r="P54" i="5"/>
  <c r="O33" i="14"/>
  <c r="N53" i="5"/>
  <c r="O40" i="5"/>
  <c r="N40" i="5"/>
  <c r="P39" i="5"/>
  <c r="Q20" i="20" s="1"/>
  <c r="P38" i="5"/>
  <c r="I20" i="27" s="1"/>
  <c r="P37" i="5"/>
  <c r="J19" i="27" s="1"/>
  <c r="P36" i="5"/>
  <c r="J18" i="27"/>
  <c r="P35" i="5"/>
  <c r="J17" i="27" s="1"/>
  <c r="O33" i="5"/>
  <c r="N33" i="5"/>
  <c r="P32" i="5"/>
  <c r="Q15" i="20" s="1"/>
  <c r="P30" i="5"/>
  <c r="I16" i="27" s="1"/>
  <c r="O29" i="5"/>
  <c r="P29" i="5" s="1"/>
  <c r="P27" i="5"/>
  <c r="I15" i="27" s="1"/>
  <c r="O26" i="5"/>
  <c r="P21" i="5"/>
  <c r="I12" i="27" s="1"/>
  <c r="P19" i="5"/>
  <c r="J10" i="27" s="1"/>
  <c r="P18" i="5"/>
  <c r="I9" i="27" s="1"/>
  <c r="P17" i="5"/>
  <c r="O5" i="14" s="1"/>
  <c r="P14" i="5"/>
  <c r="O3" i="14" s="1"/>
  <c r="Q50" i="20"/>
  <c r="O16" i="14"/>
  <c r="O49" i="14"/>
  <c r="O54" i="14"/>
  <c r="O10" i="14"/>
  <c r="O14" i="14"/>
  <c r="O13" i="14"/>
  <c r="O2" i="14"/>
  <c r="P91" i="5"/>
  <c r="P92" i="5"/>
  <c r="S32" i="15"/>
  <c r="U38" i="19"/>
  <c r="U52" i="19"/>
  <c r="I124" i="27"/>
  <c r="I112" i="27"/>
  <c r="J113" i="27"/>
  <c r="I114" i="27"/>
  <c r="I115" i="27"/>
  <c r="U107" i="19"/>
  <c r="S103" i="15"/>
  <c r="J119" i="27"/>
  <c r="S106" i="15"/>
  <c r="J111" i="27"/>
  <c r="S114" i="15"/>
  <c r="S99" i="15"/>
  <c r="J81" i="27"/>
  <c r="U57" i="19"/>
  <c r="J83" i="27"/>
  <c r="I84" i="27"/>
  <c r="S84" i="15"/>
  <c r="U90" i="19"/>
  <c r="U87" i="19"/>
  <c r="S77" i="15"/>
  <c r="U83" i="19"/>
  <c r="U76" i="19"/>
  <c r="J80" i="27"/>
  <c r="I77" i="27"/>
  <c r="U50" i="19"/>
  <c r="U45" i="19"/>
  <c r="S36" i="15"/>
  <c r="J45" i="27"/>
  <c r="Q12" i="15"/>
  <c r="S13" i="19"/>
  <c r="Q14" i="15"/>
  <c r="S15" i="19"/>
  <c r="J41" i="27"/>
  <c r="J44" i="27"/>
  <c r="J46" i="27"/>
  <c r="J42" i="27"/>
  <c r="H6" i="16"/>
  <c r="D7" i="16"/>
  <c r="H7" i="16" s="1"/>
  <c r="O42" i="14"/>
  <c r="W68" i="15"/>
  <c r="Y114" i="19"/>
  <c r="W29" i="15"/>
  <c r="O53" i="14"/>
  <c r="J31" i="27"/>
  <c r="I34" i="27"/>
  <c r="S2" i="14"/>
  <c r="Y14" i="19"/>
  <c r="V20" i="15"/>
  <c r="W66" i="15"/>
  <c r="W91" i="15"/>
  <c r="W76" i="15"/>
  <c r="P87" i="15"/>
  <c r="U16" i="19"/>
  <c r="S54" i="14"/>
  <c r="S44" i="14"/>
  <c r="U22" i="15"/>
  <c r="W63" i="15"/>
  <c r="S92" i="15"/>
  <c r="W30" i="15"/>
  <c r="J122" i="27"/>
  <c r="X37" i="19"/>
  <c r="U93" i="19"/>
  <c r="I110" i="27"/>
  <c r="I5" i="27"/>
  <c r="U33" i="20"/>
  <c r="S36" i="14"/>
  <c r="J110" i="27"/>
  <c r="S19" i="15"/>
  <c r="J96" i="27"/>
  <c r="I65" i="27"/>
  <c r="Y5" i="19"/>
  <c r="Y53" i="19"/>
  <c r="U17" i="19"/>
  <c r="W22" i="15"/>
  <c r="V24" i="15"/>
  <c r="U94" i="19"/>
  <c r="U62" i="19"/>
  <c r="J87" i="27"/>
  <c r="J47" i="27"/>
  <c r="S31" i="15"/>
  <c r="U71" i="19"/>
  <c r="S21" i="15"/>
  <c r="U89" i="19"/>
  <c r="W70" i="15"/>
  <c r="I19" i="27"/>
  <c r="J30" i="27"/>
  <c r="J16" i="27"/>
  <c r="S40" i="14"/>
  <c r="O18" i="14"/>
  <c r="Q14" i="20"/>
  <c r="S102" i="15"/>
  <c r="I51" i="27"/>
  <c r="W46" i="15"/>
  <c r="Y47" i="19"/>
  <c r="J51" i="27"/>
  <c r="I87" i="27"/>
  <c r="I117" i="27"/>
  <c r="S63" i="15"/>
  <c r="S89" i="15"/>
  <c r="I95" i="27"/>
  <c r="S22" i="14"/>
  <c r="S5" i="14"/>
  <c r="Q23" i="20"/>
  <c r="S20" i="14"/>
  <c r="O34" i="14"/>
  <c r="I10" i="27"/>
  <c r="S23" i="14"/>
  <c r="Q2" i="20"/>
  <c r="N88" i="5"/>
  <c r="Q32" i="20"/>
  <c r="P88" i="5"/>
  <c r="S45" i="14"/>
  <c r="J5" i="27"/>
  <c r="Q11" i="20"/>
  <c r="O48" i="14"/>
  <c r="J27" i="27"/>
  <c r="J7" i="27"/>
  <c r="I30" i="27"/>
  <c r="S24" i="14"/>
  <c r="Q29" i="20"/>
  <c r="I27" i="27"/>
  <c r="I7" i="27"/>
  <c r="Q45" i="20"/>
  <c r="Q16" i="20"/>
  <c r="O25" i="14"/>
  <c r="J13" i="27"/>
  <c r="I26" i="27"/>
  <c r="O39" i="14"/>
  <c r="J29" i="27"/>
  <c r="Q21" i="20"/>
  <c r="P79" i="5"/>
  <c r="J21" i="27"/>
  <c r="O40" i="14"/>
  <c r="W85" i="15"/>
  <c r="W17" i="15"/>
  <c r="U70" i="19"/>
  <c r="I122" i="27"/>
  <c r="J54" i="27"/>
  <c r="S62" i="15"/>
  <c r="I108" i="27"/>
  <c r="J108" i="27"/>
  <c r="U97" i="19"/>
  <c r="S109" i="15"/>
  <c r="U31" i="19"/>
  <c r="J66" i="27"/>
  <c r="I59" i="27"/>
  <c r="U18" i="19"/>
  <c r="I48" i="27"/>
  <c r="I54" i="27"/>
  <c r="U47" i="19"/>
  <c r="I99" i="27"/>
  <c r="J59" i="27"/>
  <c r="I47" i="27"/>
  <c r="U9" i="19"/>
  <c r="S16" i="15"/>
  <c r="U35" i="19"/>
  <c r="U74" i="19"/>
  <c r="Y12" i="19"/>
  <c r="U72" i="15"/>
  <c r="X112" i="19"/>
  <c r="S28" i="15"/>
  <c r="I52" i="27"/>
  <c r="S60" i="15"/>
  <c r="J52" i="27"/>
  <c r="I49" i="27"/>
  <c r="S79" i="15"/>
  <c r="W72" i="15"/>
  <c r="S101" i="15"/>
  <c r="I93" i="27"/>
  <c r="Y7" i="19"/>
  <c r="I116" i="27"/>
  <c r="W54" i="19"/>
  <c r="J57" i="27"/>
  <c r="Y70" i="19"/>
  <c r="Y100" i="19"/>
  <c r="U115" i="19"/>
  <c r="U45" i="15"/>
  <c r="U68" i="19"/>
  <c r="I50" i="27"/>
  <c r="I46" i="27"/>
  <c r="I106" i="27"/>
  <c r="J50" i="27"/>
  <c r="U26" i="19"/>
  <c r="I80" i="27"/>
  <c r="Y23" i="19"/>
  <c r="S70" i="15"/>
  <c r="S66" i="15"/>
  <c r="S19" i="14"/>
  <c r="U15" i="20"/>
  <c r="S32" i="14"/>
  <c r="Y37" i="19"/>
  <c r="Y27" i="19"/>
  <c r="W20" i="15"/>
  <c r="Y24" i="19"/>
  <c r="Q7" i="20"/>
  <c r="J15" i="27"/>
  <c r="Q13" i="20"/>
  <c r="Q18" i="20"/>
  <c r="O22" i="14"/>
  <c r="O17" i="14"/>
  <c r="S86" i="15"/>
  <c r="S25" i="15"/>
  <c r="X25" i="19"/>
  <c r="U78" i="19"/>
  <c r="S5" i="15"/>
  <c r="Q115" i="15"/>
  <c r="J39" i="27"/>
  <c r="S7" i="15"/>
  <c r="W79" i="15"/>
  <c r="J117" i="27"/>
  <c r="V117" i="19"/>
  <c r="J120" i="27"/>
  <c r="V25" i="15"/>
  <c r="I120" i="27"/>
  <c r="I103" i="27"/>
  <c r="V18" i="15"/>
  <c r="U80" i="19"/>
  <c r="U32" i="19"/>
  <c r="Y13" i="19"/>
  <c r="W80" i="15"/>
  <c r="W75" i="15"/>
  <c r="U95" i="19"/>
  <c r="J63" i="27"/>
  <c r="Y32" i="19"/>
  <c r="W35" i="15"/>
  <c r="U14" i="19"/>
  <c r="Y40" i="19"/>
  <c r="Y86" i="19"/>
  <c r="W82" i="19"/>
  <c r="W93" i="15"/>
  <c r="S23" i="15"/>
  <c r="V55" i="15"/>
  <c r="U98" i="19"/>
  <c r="W86" i="15"/>
  <c r="S58" i="15"/>
  <c r="Y6" i="19"/>
  <c r="U74" i="15"/>
  <c r="U14" i="15"/>
  <c r="S55" i="15"/>
  <c r="W10" i="15"/>
  <c r="X30" i="19"/>
  <c r="W15" i="19"/>
  <c r="I68" i="27"/>
  <c r="J68" i="27" s="1"/>
  <c r="S24" i="15"/>
  <c r="S75" i="15"/>
  <c r="U66" i="19"/>
  <c r="Y108" i="19"/>
  <c r="S76" i="15"/>
  <c r="I104" i="27"/>
  <c r="J118" i="27"/>
  <c r="V23" i="15"/>
  <c r="W58" i="15"/>
  <c r="Y44" i="19"/>
  <c r="U58" i="19"/>
  <c r="Y4" i="19"/>
  <c r="S47" i="15"/>
  <c r="S17" i="15"/>
  <c r="I109" i="27"/>
  <c r="J55" i="27"/>
  <c r="U108" i="19"/>
  <c r="J109" i="27"/>
  <c r="S91" i="15"/>
  <c r="Y52" i="19"/>
  <c r="U55" i="15"/>
  <c r="S13" i="15"/>
  <c r="I91" i="27"/>
  <c r="S111" i="15"/>
  <c r="S14" i="15"/>
  <c r="I123" i="27"/>
  <c r="S9" i="15"/>
  <c r="S20" i="15"/>
  <c r="U55" i="19"/>
  <c r="S46" i="15"/>
  <c r="J84" i="27"/>
  <c r="S65" i="15"/>
  <c r="U27" i="19"/>
  <c r="U54" i="19"/>
  <c r="X117" i="19"/>
  <c r="U15" i="19"/>
  <c r="I98" i="27"/>
  <c r="Y102" i="19"/>
  <c r="W49" i="15"/>
  <c r="Y115" i="19"/>
  <c r="S96" i="15"/>
  <c r="S50" i="15"/>
  <c r="U34" i="19"/>
  <c r="W65" i="15"/>
  <c r="W59" i="15"/>
  <c r="J98" i="27"/>
  <c r="S35" i="15"/>
  <c r="W19" i="15"/>
  <c r="W52" i="15"/>
  <c r="I113" i="27"/>
  <c r="Y45" i="19"/>
  <c r="S27" i="15"/>
  <c r="J92" i="27"/>
  <c r="I58" i="27"/>
  <c r="W61" i="15"/>
  <c r="I72" i="27"/>
  <c r="J72" i="27" s="1"/>
  <c r="U103" i="19"/>
  <c r="I81" i="27"/>
  <c r="I6" i="27"/>
  <c r="P13" i="5"/>
  <c r="O51" i="14"/>
  <c r="I8" i="27"/>
  <c r="Q47" i="20"/>
  <c r="J32" i="27"/>
  <c r="O50" i="14"/>
  <c r="Q46" i="20"/>
  <c r="O43" i="14"/>
  <c r="Q40" i="20"/>
  <c r="Q10" i="20"/>
  <c r="P24" i="5"/>
  <c r="U7" i="20"/>
  <c r="O15" i="14"/>
  <c r="S28" i="14"/>
  <c r="O12" i="20"/>
  <c r="I25" i="27"/>
  <c r="Q38" i="20"/>
  <c r="S25" i="14"/>
  <c r="J25" i="27"/>
  <c r="Q3" i="20"/>
  <c r="J6" i="27"/>
  <c r="P66" i="5"/>
  <c r="Q34" i="20"/>
  <c r="Q5" i="20"/>
  <c r="M55" i="14"/>
  <c r="Q4" i="20"/>
  <c r="U31" i="15"/>
  <c r="S43" i="15"/>
  <c r="U44" i="19"/>
  <c r="Y38" i="19"/>
  <c r="W34" i="15"/>
  <c r="I118" i="27"/>
  <c r="U4" i="19"/>
  <c r="W108" i="15"/>
  <c r="W41" i="15"/>
  <c r="V115" i="15"/>
  <c r="I107" i="27"/>
  <c r="S108" i="15"/>
  <c r="I38" i="27"/>
  <c r="I62" i="27"/>
  <c r="R115" i="15"/>
  <c r="W83" i="15"/>
  <c r="S41" i="15"/>
  <c r="W91" i="19"/>
  <c r="S98" i="15"/>
  <c r="S93" i="15"/>
  <c r="W25" i="15"/>
  <c r="I76" i="27"/>
  <c r="J76" i="27" s="1"/>
  <c r="Y10" i="19"/>
  <c r="S71" i="15"/>
  <c r="U105" i="19"/>
  <c r="J115" i="27"/>
  <c r="W101" i="19"/>
  <c r="Y105" i="19"/>
  <c r="U6" i="19"/>
  <c r="I55" i="27"/>
  <c r="I45" i="27"/>
  <c r="I60" i="27"/>
  <c r="J60" i="27" s="1"/>
  <c r="S81" i="15"/>
  <c r="W78" i="15"/>
  <c r="W106" i="15"/>
  <c r="J38" i="27"/>
  <c r="P59" i="5"/>
  <c r="P85" i="5"/>
  <c r="Q49" i="20"/>
  <c r="O8" i="14"/>
  <c r="I24" i="27"/>
  <c r="U39" i="20"/>
  <c r="S4" i="14"/>
  <c r="Q8" i="20"/>
  <c r="J24" i="27"/>
  <c r="U27" i="20"/>
  <c r="S47" i="14"/>
  <c r="S46" i="14"/>
  <c r="T52" i="20"/>
  <c r="I18" i="27"/>
  <c r="O21" i="14"/>
  <c r="Q17" i="20"/>
  <c r="Q55" i="14"/>
  <c r="J9" i="27"/>
  <c r="O24" i="14"/>
  <c r="J8" i="27"/>
  <c r="O36" i="14"/>
  <c r="O6" i="14"/>
  <c r="AD117" i="19"/>
  <c r="S117" i="19"/>
  <c r="Q6" i="20"/>
  <c r="I36" i="27"/>
  <c r="S87" i="15"/>
  <c r="I70" i="27"/>
  <c r="J70" i="27" s="1"/>
  <c r="Y56" i="19"/>
  <c r="Y80" i="19"/>
  <c r="W73" i="15"/>
  <c r="W46" i="19"/>
  <c r="I111" i="27"/>
  <c r="X98" i="19"/>
  <c r="S10" i="15"/>
  <c r="U39" i="19"/>
  <c r="U13" i="19"/>
  <c r="I41" i="27"/>
  <c r="U59" i="19"/>
  <c r="U81" i="19"/>
  <c r="V90" i="15"/>
  <c r="I43" i="27"/>
  <c r="W112" i="19"/>
  <c r="Y77" i="19"/>
  <c r="U36" i="19"/>
  <c r="S94" i="15"/>
  <c r="S67" i="15"/>
  <c r="S82" i="15"/>
  <c r="S61" i="15"/>
  <c r="X15" i="19"/>
  <c r="V26" i="15"/>
  <c r="S73" i="15"/>
  <c r="U29" i="19"/>
  <c r="S42" i="15"/>
  <c r="U51" i="19"/>
  <c r="I78" i="27"/>
  <c r="J78" i="27" s="1"/>
  <c r="I105" i="27"/>
  <c r="S4" i="15"/>
  <c r="U111" i="19"/>
  <c r="J61" i="27"/>
  <c r="J112" i="27"/>
  <c r="J100" i="27"/>
  <c r="U75" i="19"/>
  <c r="I35" i="27"/>
  <c r="Y75" i="19"/>
  <c r="U63" i="19"/>
  <c r="U11" i="19"/>
  <c r="W14" i="15"/>
  <c r="U82" i="19"/>
  <c r="V71" i="15"/>
  <c r="J116" i="27"/>
  <c r="U101" i="19"/>
  <c r="W64" i="15"/>
  <c r="I39" i="27"/>
  <c r="U102" i="19"/>
  <c r="I86" i="27"/>
  <c r="Y63" i="19"/>
  <c r="Y35" i="19"/>
  <c r="J67" i="27"/>
  <c r="I42" i="27"/>
  <c r="J86" i="27"/>
  <c r="S12" i="15"/>
  <c r="S11" i="15"/>
  <c r="U53" i="19"/>
  <c r="U10" i="19"/>
  <c r="U12" i="19"/>
  <c r="J107" i="27"/>
  <c r="Y64" i="19"/>
  <c r="Y116" i="19"/>
  <c r="I94" i="27"/>
  <c r="S29" i="15"/>
  <c r="S52" i="15"/>
  <c r="Y103" i="19"/>
  <c r="Y110" i="19"/>
  <c r="U69" i="19"/>
  <c r="U3" i="19"/>
  <c r="U117" i="19" s="1"/>
  <c r="W50" i="15"/>
  <c r="I88" i="27"/>
  <c r="J105" i="27"/>
  <c r="U30" i="19"/>
  <c r="I37" i="27"/>
  <c r="J37" i="27" s="1"/>
  <c r="W117" i="19"/>
  <c r="P33" i="5"/>
  <c r="O19" i="14"/>
  <c r="J33" i="27"/>
  <c r="I33" i="27"/>
  <c r="H16" i="16"/>
  <c r="T117" i="19"/>
  <c r="T115" i="15"/>
  <c r="U115" i="15"/>
  <c r="Z115" i="15"/>
  <c r="J77" i="27"/>
  <c r="I53" i="27"/>
  <c r="U112" i="19"/>
  <c r="U110" i="19"/>
  <c r="S59" i="15"/>
  <c r="S69" i="15"/>
  <c r="U116" i="19"/>
  <c r="Y93" i="19"/>
  <c r="U25" i="19"/>
  <c r="J121" i="27"/>
  <c r="W81" i="15"/>
  <c r="U77" i="19"/>
  <c r="I83" i="27"/>
  <c r="S37" i="15"/>
  <c r="S107" i="15"/>
  <c r="Y106" i="19"/>
  <c r="Y65" i="19"/>
  <c r="I102" i="27"/>
  <c r="W97" i="15"/>
  <c r="W51" i="15"/>
  <c r="S97" i="15"/>
  <c r="J114" i="27"/>
  <c r="U22" i="19"/>
  <c r="Y68" i="19"/>
  <c r="U60" i="19"/>
  <c r="I119" i="27"/>
  <c r="S18" i="15"/>
  <c r="J85" i="27"/>
  <c r="Y28" i="19"/>
  <c r="S51" i="15"/>
  <c r="S105" i="15"/>
  <c r="U86" i="19"/>
  <c r="Y3" i="19"/>
  <c r="I56" i="27"/>
  <c r="Y51" i="19"/>
  <c r="U72" i="19"/>
  <c r="S3" i="15"/>
  <c r="S64" i="15"/>
  <c r="S49" i="15"/>
  <c r="I69" i="27"/>
  <c r="J69" i="27"/>
  <c r="Y34" i="19"/>
  <c r="S38" i="15"/>
  <c r="I64" i="27"/>
  <c r="U67" i="19"/>
  <c r="J64" i="27"/>
  <c r="U33" i="19"/>
  <c r="S112" i="15"/>
  <c r="I97" i="27"/>
  <c r="I74" i="27"/>
  <c r="J74" i="27" s="1"/>
  <c r="W23" i="15"/>
  <c r="Y30" i="19"/>
  <c r="S30" i="15"/>
  <c r="J101" i="27"/>
  <c r="I75" i="27"/>
  <c r="J75" i="27" s="1"/>
  <c r="O20" i="14"/>
  <c r="O52" i="20"/>
  <c r="S52" i="20"/>
  <c r="R52" i="20"/>
  <c r="R55" i="14"/>
  <c r="P55" i="14"/>
  <c r="N55" i="14"/>
  <c r="O34" i="5"/>
  <c r="I29" i="27"/>
  <c r="S21" i="14"/>
  <c r="Q19" i="20"/>
  <c r="Q24" i="20"/>
  <c r="S35" i="14"/>
  <c r="S41" i="14"/>
  <c r="O28" i="14"/>
  <c r="P40" i="5"/>
  <c r="O23" i="14"/>
  <c r="I22" i="27"/>
  <c r="J20" i="27"/>
  <c r="U17" i="20"/>
  <c r="I11" i="27"/>
  <c r="J11" i="27"/>
  <c r="Q9" i="20"/>
  <c r="S78" i="15"/>
  <c r="Q25" i="20"/>
  <c r="N89" i="5"/>
  <c r="P53" i="5"/>
  <c r="W24" i="15"/>
  <c r="Y31" i="19"/>
  <c r="Y117" i="19"/>
  <c r="Y101" i="19"/>
  <c r="I14" i="27"/>
  <c r="J14" i="27"/>
  <c r="Q12" i="20"/>
  <c r="W31" i="15"/>
  <c r="W55" i="15"/>
  <c r="Y15" i="19"/>
  <c r="W26" i="15"/>
  <c r="Y33" i="19"/>
  <c r="W71" i="15"/>
  <c r="Y79" i="19"/>
  <c r="Y46" i="19"/>
  <c r="W38" i="15"/>
  <c r="Y112" i="19"/>
  <c r="W107" i="15"/>
  <c r="P27" i="20"/>
  <c r="P52" i="20" s="1"/>
  <c r="N31" i="14"/>
  <c r="O53" i="5"/>
  <c r="O89" i="5" s="1"/>
  <c r="O93" i="5" s="1"/>
  <c r="U116" i="15" l="1"/>
  <c r="S115" i="15"/>
  <c r="I71" i="27"/>
  <c r="J71" i="27" s="1"/>
  <c r="W48" i="15"/>
  <c r="W18" i="15"/>
  <c r="Y25" i="19"/>
  <c r="W74" i="15"/>
  <c r="Y82" i="19"/>
  <c r="W115" i="15"/>
  <c r="W90" i="15"/>
  <c r="Y98" i="19"/>
  <c r="W82" i="15"/>
  <c r="S68" i="15"/>
  <c r="I101" i="27"/>
  <c r="S48" i="15"/>
  <c r="S45" i="15"/>
  <c r="W32" i="15"/>
  <c r="U56" i="19"/>
  <c r="U104" i="19"/>
  <c r="Y91" i="19"/>
  <c r="S34" i="15"/>
  <c r="J82" i="27"/>
  <c r="I79" i="27"/>
  <c r="U40" i="19"/>
  <c r="I44" i="27"/>
  <c r="J79" i="27"/>
  <c r="I82" i="27"/>
  <c r="U41" i="19"/>
  <c r="Y29" i="19"/>
  <c r="U82" i="15"/>
  <c r="S83" i="15"/>
  <c r="J124" i="27"/>
  <c r="J104" i="27"/>
  <c r="V116" i="15"/>
  <c r="Q58" i="14"/>
  <c r="P89" i="5"/>
  <c r="S55" i="14"/>
  <c r="Q52" i="20"/>
  <c r="O55" i="14"/>
  <c r="J12" i="27"/>
  <c r="S58" i="14"/>
  <c r="AE102" i="2"/>
  <c r="U52" i="20"/>
  <c r="N26" i="5"/>
  <c r="I17" i="27"/>
  <c r="W45" i="15" l="1"/>
  <c r="Y54" i="19"/>
  <c r="G10" i="16"/>
  <c r="P26" i="5"/>
  <c r="P34" i="5" s="1"/>
  <c r="P93" i="5" s="1"/>
  <c r="O58" i="14" s="1"/>
  <c r="O60" i="14" s="1"/>
  <c r="N34" i="5"/>
  <c r="N93" i="5" s="1"/>
  <c r="W116" i="15" l="1"/>
  <c r="G11" i="16"/>
  <c r="G12" i="16" s="1"/>
  <c r="S64" i="19"/>
  <c r="Q56" i="15"/>
  <c r="S56" i="15"/>
  <c r="U64" i="19" l="1"/>
  <c r="I89" i="27"/>
  <c r="J89" i="27"/>
  <c r="Q57" i="15"/>
  <c r="S65" i="19"/>
  <c r="S57" i="15"/>
  <c r="U65" i="19" l="1"/>
  <c r="S116" i="15"/>
  <c r="I90" i="27"/>
  <c r="J90" i="27"/>
</calcChain>
</file>

<file path=xl/comments1.xml><?xml version="1.0" encoding="utf-8"?>
<comments xmlns="http://schemas.openxmlformats.org/spreadsheetml/2006/main">
  <authors>
    <author>Martha Cecilia Quintero Barreiro</author>
  </authors>
  <commentList>
    <comment ref="E16" authorId="0">
      <text>
        <r>
          <rPr>
            <b/>
            <sz val="9"/>
            <color indexed="81"/>
            <rFont val="Tahoma"/>
            <family val="2"/>
          </rPr>
          <t>Martha Cecilia Quintero Barreiro:</t>
        </r>
        <r>
          <rPr>
            <sz val="9"/>
            <color indexed="81"/>
            <rFont val="Tahoma"/>
            <family val="2"/>
          </rPr>
          <t xml:space="preserve">
se modifica la meta de acuerdo a comité directivo de 18/09/2017</t>
        </r>
      </text>
    </comment>
    <comment ref="I16" authorId="0">
      <text>
        <r>
          <rPr>
            <b/>
            <sz val="9"/>
            <color indexed="81"/>
            <rFont val="Tahoma"/>
            <family val="2"/>
          </rPr>
          <t>Martha Cecilia Quintero Barreiro:</t>
        </r>
        <r>
          <rPr>
            <sz val="9"/>
            <color indexed="81"/>
            <rFont val="Tahoma"/>
            <family val="2"/>
          </rPr>
          <t xml:space="preserve">
Se modifica de acuerdo al Memorando No. 203 del 24/02/2017</t>
        </r>
      </text>
    </comment>
    <comment ref="R16" authorId="0">
      <text>
        <r>
          <rPr>
            <b/>
            <sz val="9"/>
            <color indexed="81"/>
            <rFont val="Tahoma"/>
            <family val="2"/>
          </rPr>
          <t>Martha Cecilia Quintero Barreiro:</t>
        </r>
        <r>
          <rPr>
            <sz val="9"/>
            <color indexed="81"/>
            <rFont val="Tahoma"/>
            <family val="2"/>
          </rPr>
          <t xml:space="preserve">
Se modifica mediante Memorando No. 203 del 24/02/2017</t>
        </r>
      </text>
    </comment>
    <comment ref="I17" authorId="0">
      <text>
        <r>
          <rPr>
            <b/>
            <sz val="9"/>
            <color indexed="81"/>
            <rFont val="Tahoma"/>
            <family val="2"/>
          </rPr>
          <t>Martha Cecilia Quintero Barreiro:</t>
        </r>
        <r>
          <rPr>
            <sz val="9"/>
            <color indexed="81"/>
            <rFont val="Tahoma"/>
            <family val="2"/>
          </rPr>
          <t xml:space="preserve">
Se modifica de acuerdo al Memorando No. 203 del 24/02/2017</t>
        </r>
      </text>
    </comment>
    <comment ref="I18"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N18"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R18"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N19"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R19"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N23" authorId="0">
      <text>
        <r>
          <rPr>
            <b/>
            <sz val="9"/>
            <color indexed="81"/>
            <rFont val="Tahoma"/>
            <family val="2"/>
          </rPr>
          <t>Martha Cecilia Quintero Barreiro:</t>
        </r>
        <r>
          <rPr>
            <sz val="9"/>
            <color indexed="81"/>
            <rFont val="Tahoma"/>
            <family val="2"/>
          </rPr>
          <t xml:space="preserve">
se modifica de julio para agosto de acuerdo al memorando no. 1171 del 26/07/2017</t>
        </r>
      </text>
    </comment>
    <comment ref="I24" authorId="0">
      <text>
        <r>
          <rPr>
            <b/>
            <sz val="9"/>
            <color indexed="81"/>
            <rFont val="Tahoma"/>
            <family val="2"/>
          </rPr>
          <t>Martha Cecilia Quintero Barreiro:</t>
        </r>
        <r>
          <rPr>
            <sz val="9"/>
            <color indexed="81"/>
            <rFont val="Tahoma"/>
            <family val="2"/>
          </rPr>
          <t xml:space="preserve">
Se modifica de acuerdo al Memorando No. 203 del 24/02/2017</t>
        </r>
      </text>
    </comment>
    <comment ref="I25" authorId="0">
      <text>
        <r>
          <rPr>
            <b/>
            <sz val="9"/>
            <color indexed="81"/>
            <rFont val="Tahoma"/>
            <family val="2"/>
          </rPr>
          <t>Martha Cecilia Quintero Barreiro:</t>
        </r>
        <r>
          <rPr>
            <sz val="9"/>
            <color indexed="81"/>
            <rFont val="Tahoma"/>
            <family val="2"/>
          </rPr>
          <t xml:space="preserve">
Se modifica de acuerdo al Memorando No. 203 del 24/02/2017</t>
        </r>
      </text>
    </comment>
    <comment ref="I26" authorId="0">
      <text>
        <r>
          <rPr>
            <b/>
            <sz val="9"/>
            <color indexed="81"/>
            <rFont val="Tahoma"/>
            <family val="2"/>
          </rPr>
          <t>Martha Cecilia Quintero Barreiro:</t>
        </r>
        <r>
          <rPr>
            <sz val="9"/>
            <color indexed="81"/>
            <rFont val="Tahoma"/>
            <family val="2"/>
          </rPr>
          <t xml:space="preserve">
Se modifica de acuerdo al Memorando No. 203 del 24/02/2017</t>
        </r>
      </text>
    </comment>
    <comment ref="I28" authorId="0">
      <text>
        <r>
          <rPr>
            <b/>
            <sz val="9"/>
            <color indexed="81"/>
            <rFont val="Tahoma"/>
            <family val="2"/>
          </rPr>
          <t>Martha Cecilia Quintero Barreiro:</t>
        </r>
        <r>
          <rPr>
            <sz val="9"/>
            <color indexed="81"/>
            <rFont val="Tahoma"/>
            <family val="2"/>
          </rPr>
          <t xml:space="preserve">
Se modifica De acuerdo a Memorando No. 492 de 5 de abril de 2017
Modificación memorando 000908 del 26 de mayo de 2017</t>
        </r>
      </text>
    </comment>
    <comment ref="I32"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S42"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N43" authorId="0">
      <text>
        <r>
          <rPr>
            <b/>
            <sz val="9"/>
            <color indexed="81"/>
            <rFont val="Tahoma"/>
            <family val="2"/>
          </rPr>
          <t>Martha Cecilia Quintero Barreiro:</t>
        </r>
        <r>
          <rPr>
            <sz val="9"/>
            <color indexed="81"/>
            <rFont val="Tahoma"/>
            <family val="2"/>
          </rPr>
          <t xml:space="preserve">
se modifica de acuerdo al Memorando No. 727 del 28/04/2017</t>
        </r>
      </text>
    </comment>
    <comment ref="S43"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N44" authorId="0">
      <text>
        <r>
          <rPr>
            <b/>
            <sz val="9"/>
            <color indexed="81"/>
            <rFont val="Tahoma"/>
            <family val="2"/>
          </rPr>
          <t>Martha Cecilia Quintero Barreiro:</t>
        </r>
        <r>
          <rPr>
            <sz val="9"/>
            <color indexed="81"/>
            <rFont val="Tahoma"/>
            <family val="2"/>
          </rPr>
          <t xml:space="preserve">
se modifica de acuerdo al Memorando No. 727 del 28/04/2017</t>
        </r>
      </text>
    </comment>
    <comment ref="S44"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N45" authorId="0">
      <text>
        <r>
          <rPr>
            <b/>
            <sz val="9"/>
            <color indexed="81"/>
            <rFont val="Tahoma"/>
            <family val="2"/>
          </rPr>
          <t>Martha Cecilia Quintero Barreiro:</t>
        </r>
        <r>
          <rPr>
            <sz val="9"/>
            <color indexed="81"/>
            <rFont val="Tahoma"/>
            <family val="2"/>
          </rPr>
          <t xml:space="preserve">
se modifica de acuerdo al Memorando No. 727 del 28/04/2017</t>
        </r>
      </text>
    </comment>
    <comment ref="S45"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N46" authorId="0">
      <text>
        <r>
          <rPr>
            <b/>
            <sz val="9"/>
            <color indexed="81"/>
            <rFont val="Tahoma"/>
            <family val="2"/>
          </rPr>
          <t>Martha Cecilia Quintero Barreiro:</t>
        </r>
        <r>
          <rPr>
            <sz val="9"/>
            <color indexed="81"/>
            <rFont val="Tahoma"/>
            <family val="2"/>
          </rPr>
          <t xml:space="preserve">
se modifica de acuerdo al Memorando No. 727 del 28/04/2017</t>
        </r>
      </text>
    </comment>
    <comment ref="S46"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R47"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K48"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R48"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K50"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S50"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K51"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S51"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K52"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S52"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K53"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S53"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K54"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S54"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K55"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S55"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I56" authorId="0">
      <text>
        <r>
          <rPr>
            <b/>
            <sz val="9"/>
            <color indexed="81"/>
            <rFont val="Tahoma"/>
            <family val="2"/>
          </rPr>
          <t>Martha Cecilia Quintero Barreiro:</t>
        </r>
        <r>
          <rPr>
            <sz val="9"/>
            <color indexed="81"/>
            <rFont val="Tahoma"/>
            <family val="2"/>
          </rPr>
          <t xml:space="preserve">
Modificación memorando 000908 del 26 de mayo de 2017</t>
        </r>
      </text>
    </comment>
    <comment ref="K56"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N56" authorId="0">
      <text>
        <r>
          <rPr>
            <b/>
            <sz val="9"/>
            <color indexed="81"/>
            <rFont val="Tahoma"/>
            <family val="2"/>
          </rPr>
          <t>Martha Cecilia Quintero Barreiro:</t>
        </r>
        <r>
          <rPr>
            <sz val="9"/>
            <color indexed="81"/>
            <rFont val="Tahoma"/>
            <family val="2"/>
          </rPr>
          <t xml:space="preserve">
Mediante memorando No. 686 del 25/04/2017
Modificación memorando del 26 de mayo de 2017
</t>
        </r>
      </text>
    </comment>
    <comment ref="O56" authorId="0">
      <text>
        <r>
          <rPr>
            <b/>
            <sz val="9"/>
            <color indexed="81"/>
            <rFont val="Tahoma"/>
            <family val="2"/>
          </rPr>
          <t>Martha Cecilia Quintero Barreiro:</t>
        </r>
        <r>
          <rPr>
            <sz val="9"/>
            <color indexed="81"/>
            <rFont val="Tahoma"/>
            <family val="2"/>
          </rPr>
          <t xml:space="preserve">
Modificación memorando del 26 de mayo de 2017</t>
        </r>
      </text>
    </comment>
    <comment ref="S56"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K57"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S57" authorId="0">
      <text>
        <r>
          <rPr>
            <b/>
            <sz val="9"/>
            <color indexed="81"/>
            <rFont val="Tahoma"/>
            <family val="2"/>
          </rPr>
          <t>Martha Cecilia Quintero Barreiro:</t>
        </r>
        <r>
          <rPr>
            <sz val="9"/>
            <color indexed="81"/>
            <rFont val="Tahoma"/>
            <family val="2"/>
          </rPr>
          <t xml:space="preserve">
Se modifica De acuerdo a Memorando No. 492 de 5 de abril de 2017
se adicionan de acuerdo al Memorando No. 686 del 25/04/2017</t>
        </r>
      </text>
    </comment>
    <comment ref="I62" authorId="0">
      <text>
        <r>
          <rPr>
            <b/>
            <sz val="9"/>
            <color indexed="81"/>
            <rFont val="Tahoma"/>
            <family val="2"/>
          </rPr>
          <t>Martha Cecilia Quintero Barreiro:</t>
        </r>
        <r>
          <rPr>
            <sz val="9"/>
            <color indexed="81"/>
            <rFont val="Tahoma"/>
            <family val="2"/>
          </rPr>
          <t xml:space="preserve">
Se modifica de acuerdo al Memorando No. 203 del 24/02/2017</t>
        </r>
      </text>
    </comment>
    <comment ref="I64" authorId="0">
      <text>
        <r>
          <rPr>
            <b/>
            <sz val="9"/>
            <color indexed="81"/>
            <rFont val="Tahoma"/>
            <family val="2"/>
          </rPr>
          <t>Martha Cecilia Quintero Barreiro:</t>
        </r>
        <r>
          <rPr>
            <sz val="9"/>
            <color indexed="81"/>
            <rFont val="Tahoma"/>
            <family val="2"/>
          </rPr>
          <t xml:space="preserve">
se crea nuevo objeto de acuerdo al Memorando No. 330 de 8 de marzo de 2017</t>
        </r>
      </text>
    </comment>
    <comment ref="R64" authorId="0">
      <text>
        <r>
          <rPr>
            <b/>
            <sz val="9"/>
            <color indexed="81"/>
            <rFont val="Tahoma"/>
            <family val="2"/>
          </rPr>
          <t>Martha Cecilia Quintero Barreiro:</t>
        </r>
        <r>
          <rPr>
            <sz val="9"/>
            <color indexed="81"/>
            <rFont val="Tahoma"/>
            <family val="2"/>
          </rPr>
          <t xml:space="preserve">
se adicionan de acuerdo al Memorando No. 330 de 8 de marzo de 2017
Se modifica De acuerdo a Memorando No. 492 de 5 de abril de 2017</t>
        </r>
      </text>
    </comment>
    <comment ref="I65" authorId="0">
      <text>
        <r>
          <rPr>
            <b/>
            <sz val="9"/>
            <color indexed="81"/>
            <rFont val="Tahoma"/>
            <family val="2"/>
          </rPr>
          <t>Martha Cecilia Quintero Barreiro:</t>
        </r>
        <r>
          <rPr>
            <sz val="9"/>
            <color indexed="81"/>
            <rFont val="Tahoma"/>
            <family val="2"/>
          </rPr>
          <t xml:space="preserve">
se cra nuevo objeto contractual de acuerdo al memorando NO.1334 del 28 de agosto de 2017</t>
        </r>
      </text>
    </comment>
    <comment ref="R65" authorId="0">
      <text>
        <r>
          <rPr>
            <b/>
            <sz val="9"/>
            <color indexed="81"/>
            <rFont val="Tahoma"/>
            <family val="2"/>
          </rPr>
          <t>Martha Cecilia Quintero Barreiro:</t>
        </r>
        <r>
          <rPr>
            <sz val="9"/>
            <color indexed="81"/>
            <rFont val="Tahoma"/>
            <family val="2"/>
          </rPr>
          <t xml:space="preserve">
se restan 6,844,750 de acuerdo al memorando NO.1334 del 28 de agosto de 2017</t>
        </r>
      </text>
    </comment>
    <comment ref="I69" authorId="0">
      <text>
        <r>
          <rPr>
            <b/>
            <sz val="9"/>
            <color indexed="81"/>
            <rFont val="Tahoma"/>
            <family val="2"/>
          </rPr>
          <t>Martha Cecilia Quintero Barreiro:</t>
        </r>
        <r>
          <rPr>
            <sz val="9"/>
            <color indexed="81"/>
            <rFont val="Tahoma"/>
            <family val="2"/>
          </rPr>
          <t xml:space="preserve">
se adicionan de acuerdo al Memorando No. 330 de 8 de marzo de 2017</t>
        </r>
      </text>
    </comment>
    <comment ref="R69" authorId="0">
      <text>
        <r>
          <rPr>
            <b/>
            <sz val="9"/>
            <color indexed="81"/>
            <rFont val="Tahoma"/>
            <family val="2"/>
          </rPr>
          <t>Martha Cecilia Quintero Barreiro:</t>
        </r>
        <r>
          <rPr>
            <sz val="9"/>
            <color indexed="81"/>
            <rFont val="Tahoma"/>
            <family val="2"/>
          </rPr>
          <t xml:space="preserve">
se adicionan de acuerdo al Memorando No. 330 de 8 de marzo de 2017</t>
        </r>
      </text>
    </comment>
    <comment ref="R70"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I72" authorId="0">
      <text>
        <r>
          <rPr>
            <b/>
            <sz val="9"/>
            <color indexed="81"/>
            <rFont val="Tahoma"/>
            <family val="2"/>
          </rPr>
          <t>Martha Cecilia Quintero Barreiro:</t>
        </r>
        <r>
          <rPr>
            <sz val="9"/>
            <color indexed="81"/>
            <rFont val="Tahoma"/>
            <family val="2"/>
          </rPr>
          <t xml:space="preserve">
se cra nuevo objeto contractual de acuerdo al memorando NO.1334 del 28 de agosto de 2017</t>
        </r>
      </text>
    </comment>
    <comment ref="R72" authorId="0">
      <text>
        <r>
          <rPr>
            <b/>
            <sz val="9"/>
            <color indexed="81"/>
            <rFont val="Tahoma"/>
            <family val="2"/>
          </rPr>
          <t>Martha Cecilia Quintero Barreiro:</t>
        </r>
        <r>
          <rPr>
            <sz val="9"/>
            <color indexed="81"/>
            <rFont val="Tahoma"/>
            <family val="2"/>
          </rPr>
          <t xml:space="preserve">
se restan 787,290 de acuerdo al memorando NO.1334 del 28 de agosto de 2017</t>
        </r>
      </text>
    </comment>
    <comment ref="I75" authorId="0">
      <text>
        <r>
          <rPr>
            <b/>
            <sz val="9"/>
            <color indexed="81"/>
            <rFont val="Tahoma"/>
            <family val="2"/>
          </rPr>
          <t>Martha Cecilia Quintero Barreiro:</t>
        </r>
        <r>
          <rPr>
            <sz val="9"/>
            <color indexed="81"/>
            <rFont val="Tahoma"/>
            <family val="2"/>
          </rPr>
          <t xml:space="preserve">
Se modifica el objeto contractual de acuerdo al Memorando NO.203 del 22/02/2017</t>
        </r>
      </text>
    </comment>
    <comment ref="R77"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E81" authorId="0">
      <text>
        <r>
          <rPr>
            <b/>
            <sz val="9"/>
            <color indexed="81"/>
            <rFont val="Tahoma"/>
            <family val="2"/>
          </rPr>
          <t>Martha Cecilia Quintero Barreiro:</t>
        </r>
        <r>
          <rPr>
            <sz val="9"/>
            <color indexed="81"/>
            <rFont val="Tahoma"/>
            <family val="2"/>
          </rPr>
          <t xml:space="preserve">
se modifica la meta de acuerdo a comité directivo de 18/09/2017</t>
        </r>
      </text>
    </comment>
    <comment ref="N87" authorId="0">
      <text>
        <r>
          <rPr>
            <b/>
            <sz val="9"/>
            <color indexed="81"/>
            <rFont val="Tahoma"/>
            <family val="2"/>
          </rPr>
          <t>Martha Cecilia Quintero Barreiro:</t>
        </r>
        <r>
          <rPr>
            <sz val="9"/>
            <color indexed="81"/>
            <rFont val="Tahoma"/>
            <family val="2"/>
          </rPr>
          <t xml:space="preserve">
Se modifica de acuerdo al MemorandoNo. 418 del 27/03/2017
Se cambia la fecha de acuerdo al Memorando No. 686 del 25/04/2017</t>
        </r>
      </text>
    </comment>
    <comment ref="R89"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I90" authorId="0">
      <text>
        <r>
          <rPr>
            <b/>
            <sz val="9"/>
            <color indexed="81"/>
            <rFont val="Tahoma"/>
            <family val="2"/>
          </rPr>
          <t>Martha Cecilia Quintero Barreiro:</t>
        </r>
        <r>
          <rPr>
            <sz val="9"/>
            <color indexed="81"/>
            <rFont val="Tahoma"/>
            <family val="2"/>
          </rPr>
          <t xml:space="preserve">
Mediante memorando No. 686 del 25/04/2017</t>
        </r>
      </text>
    </comment>
    <comment ref="R90" authorId="0">
      <text>
        <r>
          <rPr>
            <b/>
            <sz val="9"/>
            <color indexed="81"/>
            <rFont val="Tahoma"/>
            <family val="2"/>
          </rPr>
          <t>Martha Cecilia Quintero Barreiro:</t>
        </r>
        <r>
          <rPr>
            <sz val="9"/>
            <color indexed="81"/>
            <rFont val="Tahoma"/>
            <family val="2"/>
          </rPr>
          <t xml:space="preserve">
Mediante memorando No. 686 del 25/04/2017</t>
        </r>
      </text>
    </comment>
    <comment ref="I96" authorId="0">
      <text>
        <r>
          <rPr>
            <b/>
            <sz val="9"/>
            <color indexed="81"/>
            <rFont val="Tahoma"/>
            <family val="2"/>
          </rPr>
          <t>Martha Cecilia Quintero Barreiro:</t>
        </r>
        <r>
          <rPr>
            <sz val="9"/>
            <color indexed="81"/>
            <rFont val="Tahoma"/>
            <family val="2"/>
          </rPr>
          <t xml:space="preserve">
Se modifica de acuerdo al Memorando No. 686 del 25/04/2017
Memorando 000927 del 02 de junio de 2017</t>
        </r>
      </text>
    </comment>
    <comment ref="R96" authorId="0">
      <text>
        <r>
          <rPr>
            <b/>
            <sz val="9"/>
            <color indexed="81"/>
            <rFont val="Tahoma"/>
            <family val="2"/>
          </rPr>
          <t>Martha Cecilia Quintero Barreiro:</t>
        </r>
        <r>
          <rPr>
            <sz val="9"/>
            <color indexed="81"/>
            <rFont val="Tahoma"/>
            <family val="2"/>
          </rPr>
          <t xml:space="preserve">
Se adiciona de acuerdo al Memorando No. 686 del 25/04/2017</t>
        </r>
      </text>
    </comment>
    <comment ref="S96" authorId="0">
      <text>
        <r>
          <rPr>
            <b/>
            <sz val="9"/>
            <color indexed="81"/>
            <rFont val="Tahoma"/>
            <family val="2"/>
          </rPr>
          <t>Martha Cecilia Quintero Barreiro:</t>
        </r>
        <r>
          <rPr>
            <sz val="9"/>
            <color indexed="81"/>
            <rFont val="Tahoma"/>
            <family val="2"/>
          </rPr>
          <t xml:space="preserve">
Se adiciona de acuerdo al Memorando No. 686 del 25/04/2017</t>
        </r>
      </text>
    </comment>
    <comment ref="I97" authorId="0">
      <text>
        <r>
          <rPr>
            <b/>
            <sz val="9"/>
            <color indexed="81"/>
            <rFont val="Tahoma"/>
            <family val="2"/>
          </rPr>
          <t>Martha Cecilia Quintero Barreiro:</t>
        </r>
        <r>
          <rPr>
            <sz val="9"/>
            <color indexed="81"/>
            <rFont val="Tahoma"/>
            <family val="2"/>
          </rPr>
          <t xml:space="preserve">
se cra nuevo objeto contractual de acuerdo al memorando NO.1334 del 28 de agosto de 2017</t>
        </r>
      </text>
    </comment>
    <comment ref="S97" authorId="0">
      <text>
        <r>
          <rPr>
            <b/>
            <sz val="9"/>
            <color indexed="81"/>
            <rFont val="Tahoma"/>
            <family val="2"/>
          </rPr>
          <t>Martha Cecilia Quintero Barreiro:</t>
        </r>
        <r>
          <rPr>
            <sz val="9"/>
            <color indexed="81"/>
            <rFont val="Tahoma"/>
            <family val="2"/>
          </rPr>
          <t xml:space="preserve">
se restan 4,397,476 de acuerdo al memorando NO.1334 del 28 de agosto de 2017
Se cancela el objeto del contrato de acuerdo al Memorando No. 1447 del 28/09/2017</t>
        </r>
      </text>
    </comment>
    <comment ref="I98" authorId="0">
      <text>
        <r>
          <rPr>
            <b/>
            <sz val="9"/>
            <color indexed="81"/>
            <rFont val="Tahoma"/>
            <family val="2"/>
          </rPr>
          <t>Martha Cecilia Quintero Barreiro:</t>
        </r>
        <r>
          <rPr>
            <sz val="9"/>
            <color indexed="81"/>
            <rFont val="Tahoma"/>
            <family val="2"/>
          </rPr>
          <t xml:space="preserve">
se crea nuevo objeto contractual de acuerdo al Memorando No. 1447 del 28/09/2017</t>
        </r>
      </text>
    </comment>
    <comment ref="S98" authorId="0">
      <text>
        <r>
          <rPr>
            <b/>
            <sz val="9"/>
            <color indexed="81"/>
            <rFont val="Tahoma"/>
            <family val="2"/>
          </rPr>
          <t>Martha Cecilia Quintero Barreiro:</t>
        </r>
        <r>
          <rPr>
            <sz val="9"/>
            <color indexed="81"/>
            <rFont val="Tahoma"/>
            <family val="2"/>
          </rPr>
          <t xml:space="preserve">
se crea nuevo objeto contractual de acuerdo al Memorando No. 1447 del 28/09/2017</t>
        </r>
      </text>
    </comment>
    <comment ref="I99" authorId="0">
      <text>
        <r>
          <rPr>
            <b/>
            <sz val="9"/>
            <color indexed="81"/>
            <rFont val="Tahoma"/>
            <family val="2"/>
          </rPr>
          <t>Martha Cecilia Quintero Barreiro:</t>
        </r>
        <r>
          <rPr>
            <sz val="9"/>
            <color indexed="81"/>
            <rFont val="Tahoma"/>
            <family val="2"/>
          </rPr>
          <t xml:space="preserve">
Modificación memorando del 26 de mayo de 2017
Memorando 000927 del 02 de junio de 2017</t>
        </r>
      </text>
    </comment>
    <comment ref="N99" authorId="0">
      <text>
        <r>
          <rPr>
            <b/>
            <sz val="9"/>
            <color indexed="81"/>
            <rFont val="Tahoma"/>
            <family val="2"/>
          </rPr>
          <t>Martha Cecilia Quintero Barreiro:</t>
        </r>
        <r>
          <rPr>
            <sz val="9"/>
            <color indexed="81"/>
            <rFont val="Tahoma"/>
            <family val="2"/>
          </rPr>
          <t xml:space="preserve">
Modificación memorando del 26 de mayo de 2017</t>
        </r>
      </text>
    </comment>
    <comment ref="O99" authorId="0">
      <text>
        <r>
          <rPr>
            <b/>
            <sz val="9"/>
            <color indexed="81"/>
            <rFont val="Tahoma"/>
            <family val="2"/>
          </rPr>
          <t>Martha Cecilia Quintero Barreiro:</t>
        </r>
        <r>
          <rPr>
            <sz val="9"/>
            <color indexed="81"/>
            <rFont val="Tahoma"/>
            <family val="2"/>
          </rPr>
          <t xml:space="preserve">
Modificación memorando del 26 de mayo de 2017</t>
        </r>
      </text>
    </comment>
    <comment ref="I100" authorId="0">
      <text>
        <r>
          <rPr>
            <b/>
            <sz val="9"/>
            <color indexed="81"/>
            <rFont val="Tahoma"/>
            <family val="2"/>
          </rPr>
          <t>Martha Cecilia Quintero Barreiro:</t>
        </r>
        <r>
          <rPr>
            <sz val="9"/>
            <color indexed="81"/>
            <rFont val="Tahoma"/>
            <family val="2"/>
          </rPr>
          <t xml:space="preserve">
Modificación memorando del 26 de mayo de 2017</t>
        </r>
      </text>
    </comment>
    <comment ref="N100" authorId="0">
      <text>
        <r>
          <rPr>
            <b/>
            <sz val="9"/>
            <color indexed="81"/>
            <rFont val="Tahoma"/>
            <family val="2"/>
          </rPr>
          <t>Martha Cecilia Quintero Barreiro:</t>
        </r>
        <r>
          <rPr>
            <sz val="9"/>
            <color indexed="81"/>
            <rFont val="Tahoma"/>
            <family val="2"/>
          </rPr>
          <t xml:space="preserve">
Modificación memorando del 26 de mayo de 2017</t>
        </r>
      </text>
    </comment>
    <comment ref="O100" authorId="0">
      <text>
        <r>
          <rPr>
            <b/>
            <sz val="9"/>
            <color indexed="81"/>
            <rFont val="Tahoma"/>
            <family val="2"/>
          </rPr>
          <t>Martha Cecilia Quintero Barreiro:</t>
        </r>
        <r>
          <rPr>
            <sz val="9"/>
            <color indexed="81"/>
            <rFont val="Tahoma"/>
            <family val="2"/>
          </rPr>
          <t xml:space="preserve">
Modificación memorando del 26 de mayo de 2017</t>
        </r>
      </text>
    </comment>
    <comment ref="R103"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R104"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S104"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S105"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S106" authorId="0">
      <text>
        <r>
          <rPr>
            <b/>
            <sz val="9"/>
            <color indexed="81"/>
            <rFont val="Tahoma"/>
            <family val="2"/>
          </rPr>
          <t>Martha Cecilia Quintero Barreiro:</t>
        </r>
        <r>
          <rPr>
            <sz val="9"/>
            <color indexed="81"/>
            <rFont val="Tahoma"/>
            <family val="2"/>
          </rPr>
          <t xml:space="preserve">
Se modifica de acuerdo al MemorandoNo. 418 del 27/03/2017
SE MODIFICA DE ACUERDO AL MEMORANDO NO.686 DEL 25/04/2017</t>
        </r>
      </text>
    </comment>
    <comment ref="S107" authorId="0">
      <text>
        <r>
          <rPr>
            <b/>
            <sz val="9"/>
            <color indexed="81"/>
            <rFont val="Tahoma"/>
            <family val="2"/>
          </rPr>
          <t>Martha Cecilia Quintero Barreiro:</t>
        </r>
        <r>
          <rPr>
            <sz val="9"/>
            <color indexed="81"/>
            <rFont val="Tahoma"/>
            <family val="2"/>
          </rPr>
          <t xml:space="preserve">
Se modifica de acuerdo al MemorandoNo. 418 del 27/03/2017
Mediante memorando No. 686 del 25/04/2017</t>
        </r>
      </text>
    </comment>
    <comment ref="S108"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I110" authorId="0">
      <text>
        <r>
          <rPr>
            <b/>
            <sz val="9"/>
            <color indexed="81"/>
            <rFont val="Tahoma"/>
            <family val="2"/>
          </rPr>
          <t>Martha Cecilia Quintero Barreiro:</t>
        </r>
        <r>
          <rPr>
            <sz val="9"/>
            <color indexed="81"/>
            <rFont val="Tahoma"/>
            <family val="2"/>
          </rPr>
          <t xml:space="preserve">
se modifica de acuerdo al Memorando No. 727 del 28/04/2017</t>
        </r>
      </text>
    </comment>
    <comment ref="N110" authorId="0">
      <text>
        <r>
          <rPr>
            <b/>
            <sz val="9"/>
            <color indexed="81"/>
            <rFont val="Tahoma"/>
            <family val="2"/>
          </rPr>
          <t>Martha Cecilia Quintero Barreiro:</t>
        </r>
        <r>
          <rPr>
            <sz val="9"/>
            <color indexed="81"/>
            <rFont val="Tahoma"/>
            <family val="2"/>
          </rPr>
          <t xml:space="preserve">
Se modifica de acuerdo al MemorandoNo. 418 del 27/03/2017
se modifica de acuerdo al Memorando No. 727 del 28/04/2017</t>
        </r>
      </text>
    </comment>
    <comment ref="S112"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S113"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S114"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I121" authorId="0">
      <text>
        <r>
          <rPr>
            <b/>
            <sz val="9"/>
            <color indexed="81"/>
            <rFont val="Tahoma"/>
            <family val="2"/>
          </rPr>
          <t>Martha Cecilia Quintero Barreiro:</t>
        </r>
        <r>
          <rPr>
            <sz val="9"/>
            <color indexed="81"/>
            <rFont val="Tahoma"/>
            <family val="2"/>
          </rPr>
          <t xml:space="preserve">
</t>
        </r>
      </text>
    </comment>
    <comment ref="R121" authorId="0">
      <text>
        <r>
          <rPr>
            <b/>
            <sz val="9"/>
            <color indexed="81"/>
            <rFont val="Tahoma"/>
            <family val="2"/>
          </rPr>
          <t>Martha Cecilia Quintero Barreiro:</t>
        </r>
        <r>
          <rPr>
            <sz val="9"/>
            <color indexed="81"/>
            <rFont val="Tahoma"/>
            <family val="2"/>
          </rPr>
          <t xml:space="preserve">
se adicionan de acuerdo al Memorando No. 330 de 8 de marzo de 2017</t>
        </r>
      </text>
    </comment>
    <comment ref="I122" authorId="0">
      <text>
        <r>
          <rPr>
            <b/>
            <sz val="9"/>
            <color indexed="81"/>
            <rFont val="Tahoma"/>
            <family val="2"/>
          </rPr>
          <t>Martha Cecilia Quintero Barreiro:</t>
        </r>
        <r>
          <rPr>
            <sz val="9"/>
            <color indexed="81"/>
            <rFont val="Tahoma"/>
            <family val="2"/>
          </rPr>
          <t xml:space="preserve">
se cra nuevo objeto contractual de acuerdo al memorando NO.1334 del 28 de agosto de 2017</t>
        </r>
      </text>
    </comment>
    <comment ref="R122" authorId="0">
      <text>
        <r>
          <rPr>
            <b/>
            <sz val="9"/>
            <color indexed="81"/>
            <rFont val="Tahoma"/>
            <family val="2"/>
          </rPr>
          <t>Martha Cecilia Quintero Barreiro:</t>
        </r>
        <r>
          <rPr>
            <sz val="9"/>
            <color indexed="81"/>
            <rFont val="Tahoma"/>
            <family val="2"/>
          </rPr>
          <t xml:space="preserve">
se restan 3,844,750 de acuerdo al memorando NO.1334 del 28 de agosto de 2017</t>
        </r>
      </text>
    </comment>
    <comment ref="I126" authorId="0">
      <text>
        <r>
          <rPr>
            <b/>
            <sz val="9"/>
            <color indexed="81"/>
            <rFont val="Tahoma"/>
            <family val="2"/>
          </rPr>
          <t>Martha Cecilia Quintero Barreiro:</t>
        </r>
        <r>
          <rPr>
            <sz val="9"/>
            <color indexed="81"/>
            <rFont val="Tahoma"/>
            <family val="2"/>
          </rPr>
          <t xml:space="preserve">
se adicionan de acuerdo al Memorando No. 330 de 8 de marzo de 2017</t>
        </r>
      </text>
    </comment>
    <comment ref="R126" authorId="0">
      <text>
        <r>
          <rPr>
            <b/>
            <sz val="9"/>
            <color indexed="81"/>
            <rFont val="Tahoma"/>
            <family val="2"/>
          </rPr>
          <t>Martha Cecilia Quintero Barreiro:</t>
        </r>
        <r>
          <rPr>
            <sz val="9"/>
            <color indexed="81"/>
            <rFont val="Tahoma"/>
            <family val="2"/>
          </rPr>
          <t xml:space="preserve">
se adicionan de acuerdo al Memorando No. 330 de 8 de marzo de 2017</t>
        </r>
      </text>
    </comment>
    <comment ref="N127"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R127" authorId="0">
      <text>
        <r>
          <rPr>
            <b/>
            <sz val="9"/>
            <color indexed="81"/>
            <rFont val="Tahoma"/>
            <family val="2"/>
          </rPr>
          <t>Martha Cecilia Quintero Barreiro:</t>
        </r>
        <r>
          <rPr>
            <sz val="9"/>
            <color indexed="81"/>
            <rFont val="Tahoma"/>
            <family val="2"/>
          </rPr>
          <t xml:space="preserve">
Se modifica de acuerdo al Memorando No. 418 del 27/03/2017
</t>
        </r>
      </text>
    </comment>
    <comment ref="I129" authorId="0">
      <text>
        <r>
          <rPr>
            <b/>
            <sz val="9"/>
            <color indexed="81"/>
            <rFont val="Tahoma"/>
            <family val="2"/>
          </rPr>
          <t>Martha Cecilia Quintero Barreiro:</t>
        </r>
        <r>
          <rPr>
            <sz val="9"/>
            <color indexed="81"/>
            <rFont val="Tahoma"/>
            <family val="2"/>
          </rPr>
          <t xml:space="preserve">
Se modifica el objeto contractual de acuerdo al Memorando NO.203 del 22/02/2017</t>
        </r>
      </text>
    </comment>
    <comment ref="R132"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N134"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R134" authorId="0">
      <text>
        <r>
          <rPr>
            <b/>
            <sz val="9"/>
            <color indexed="81"/>
            <rFont val="Tahoma"/>
            <family val="2"/>
          </rPr>
          <t>Martha Cecilia Quintero Barreiro:</t>
        </r>
        <r>
          <rPr>
            <sz val="9"/>
            <color indexed="81"/>
            <rFont val="Tahoma"/>
            <family val="2"/>
          </rPr>
          <t xml:space="preserve">
</t>
        </r>
      </text>
    </comment>
    <comment ref="S136"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I137" authorId="0">
      <text>
        <r>
          <rPr>
            <b/>
            <sz val="9"/>
            <color indexed="81"/>
            <rFont val="Tahoma"/>
            <family val="2"/>
          </rPr>
          <t>Martha Cecilia Quintero Barreiro:</t>
        </r>
        <r>
          <rPr>
            <sz val="9"/>
            <color indexed="81"/>
            <rFont val="Tahoma"/>
            <family val="2"/>
          </rPr>
          <t xml:space="preserve">
Se modifica mediante memorando del 26 de mayo de 2017</t>
        </r>
      </text>
    </comment>
    <comment ref="N137" authorId="0">
      <text>
        <r>
          <rPr>
            <b/>
            <sz val="9"/>
            <color indexed="81"/>
            <rFont val="Tahoma"/>
            <family val="2"/>
          </rPr>
          <t>Martha Cecilia Quintero Barreiro:</t>
        </r>
        <r>
          <rPr>
            <sz val="9"/>
            <color indexed="81"/>
            <rFont val="Tahoma"/>
            <family val="2"/>
          </rPr>
          <t xml:space="preserve">
Modificación memorando del 26 de mayo de 2017
se modifica de julio para septiembre de acuerdo al memorando No. 1171 del 26/07/2017
se modifica de septiembre para octubre de acuerdo al Memorando No. 1334 de 28/08/2017</t>
        </r>
      </text>
    </comment>
    <comment ref="O137" authorId="0">
      <text>
        <r>
          <rPr>
            <b/>
            <sz val="9"/>
            <color indexed="81"/>
            <rFont val="Tahoma"/>
            <family val="2"/>
          </rPr>
          <t>Martha Cecilia Quintero Barreiro:</t>
        </r>
        <r>
          <rPr>
            <sz val="9"/>
            <color indexed="81"/>
            <rFont val="Tahoma"/>
            <family val="2"/>
          </rPr>
          <t xml:space="preserve">
Modificación memorando del 26 de mayo de 2017</t>
        </r>
      </text>
    </comment>
    <comment ref="P137" authorId="0">
      <text>
        <r>
          <rPr>
            <b/>
            <sz val="9"/>
            <color indexed="81"/>
            <rFont val="Tahoma"/>
            <family val="2"/>
          </rPr>
          <t>Martha Cecilia Quintero Barreiro:</t>
        </r>
        <r>
          <rPr>
            <sz val="9"/>
            <color indexed="81"/>
            <rFont val="Tahoma"/>
            <family val="2"/>
          </rPr>
          <t xml:space="preserve">
Modificación memorando del 26 de mayo de 2017</t>
        </r>
      </text>
    </comment>
    <comment ref="S137" authorId="0">
      <text>
        <r>
          <rPr>
            <b/>
            <sz val="9"/>
            <color indexed="81"/>
            <rFont val="Tahoma"/>
            <family val="2"/>
          </rPr>
          <t>Martha Cecilia Quintero Barreiro:</t>
        </r>
        <r>
          <rPr>
            <sz val="9"/>
            <color indexed="81"/>
            <rFont val="Tahoma"/>
            <family val="2"/>
          </rPr>
          <t xml:space="preserve">
Se modifica de acuerdo al MemorandoNo. 418 del 27/03/2017
se adicionan de acuerdo al Memorando No. 686 del 25/04/2017
Se cancela de acuerdo al memorando No. 1447 del 28/09/2017</t>
        </r>
      </text>
    </comment>
    <comment ref="I138" authorId="0">
      <text>
        <r>
          <rPr>
            <b/>
            <sz val="9"/>
            <color indexed="81"/>
            <rFont val="Tahoma"/>
            <family val="2"/>
          </rPr>
          <t>Martha Cecilia Quintero Barreiro:</t>
        </r>
        <r>
          <rPr>
            <sz val="9"/>
            <color indexed="81"/>
            <rFont val="Tahoma"/>
            <family val="2"/>
          </rPr>
          <t xml:space="preserve">
Se crea nuevo objeto contractual de acuerdo al Memorando 1447 de 28/09/2017</t>
        </r>
      </text>
    </comment>
    <comment ref="S138" authorId="0">
      <text>
        <r>
          <rPr>
            <b/>
            <sz val="9"/>
            <color indexed="81"/>
            <rFont val="Tahoma"/>
            <family val="2"/>
          </rPr>
          <t>Martha Cecilia Quintero Barreiro:</t>
        </r>
        <r>
          <rPr>
            <sz val="9"/>
            <color indexed="81"/>
            <rFont val="Tahoma"/>
            <family val="2"/>
          </rPr>
          <t xml:space="preserve">
se crea nuevo objeto contractual de acuerdo al Memorando No. 1447 del 28/09/2017</t>
        </r>
      </text>
    </comment>
    <comment ref="O139" authorId="0">
      <text>
        <r>
          <rPr>
            <b/>
            <sz val="9"/>
            <color indexed="81"/>
            <rFont val="Tahoma"/>
            <family val="2"/>
          </rPr>
          <t>Martha Cecilia Quintero Barreiro:</t>
        </r>
        <r>
          <rPr>
            <sz val="9"/>
            <color indexed="81"/>
            <rFont val="Tahoma"/>
            <family val="2"/>
          </rPr>
          <t xml:space="preserve">
Modificación memorando del 26 de mayo de 2017</t>
        </r>
      </text>
    </comment>
    <comment ref="S139"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S140" authorId="0">
      <text>
        <r>
          <rPr>
            <b/>
            <sz val="9"/>
            <color indexed="81"/>
            <rFont val="Tahoma"/>
            <family val="2"/>
          </rPr>
          <t>Martha Cecilia Quintero Barreiro:</t>
        </r>
        <r>
          <rPr>
            <sz val="9"/>
            <color indexed="81"/>
            <rFont val="Tahoma"/>
            <family val="2"/>
          </rPr>
          <t xml:space="preserve">
Se modifica de acuerdo al MemorandoNo. 418 del 27/03/2017
Mediante memorando No. 686 del 25/04/2017
se modifica de acuerdo al Memorando 819 del 11/05/2017</t>
        </r>
      </text>
    </comment>
    <comment ref="S141"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I153" authorId="0">
      <text>
        <r>
          <rPr>
            <b/>
            <sz val="9"/>
            <color indexed="81"/>
            <rFont val="Tahoma"/>
            <family val="2"/>
          </rPr>
          <t>Martha Cecilia Quintero Barreiro:</t>
        </r>
        <r>
          <rPr>
            <sz val="9"/>
            <color indexed="81"/>
            <rFont val="Tahoma"/>
            <family val="2"/>
          </rPr>
          <t xml:space="preserve">
Se modifica el objeto contractua de acuerdo al Memorando No. 203 del 24/02/2017</t>
        </r>
      </text>
    </comment>
    <comment ref="R153" authorId="0">
      <text>
        <r>
          <rPr>
            <b/>
            <sz val="9"/>
            <color indexed="81"/>
            <rFont val="Tahoma"/>
            <family val="2"/>
          </rPr>
          <t>Martha Cecilia Quintero Barreiro:</t>
        </r>
        <r>
          <rPr>
            <sz val="9"/>
            <color indexed="81"/>
            <rFont val="Tahoma"/>
            <family val="2"/>
          </rPr>
          <t xml:space="preserve">
se reducen de acuerdo al Memorando No. 000203 del 24/02/2017</t>
        </r>
      </text>
    </comment>
    <comment ref="I154" authorId="0">
      <text>
        <r>
          <rPr>
            <b/>
            <sz val="9"/>
            <color indexed="81"/>
            <rFont val="Tahoma"/>
            <family val="2"/>
          </rPr>
          <t>Martha Cecilia Quintero Barreiro:</t>
        </r>
        <r>
          <rPr>
            <sz val="9"/>
            <color indexed="81"/>
            <rFont val="Tahoma"/>
            <family val="2"/>
          </rPr>
          <t xml:space="preserve">
Se modifica el objeto contractua de acuerdo al Memorando No. 203 del 24/02/2017</t>
        </r>
      </text>
    </comment>
    <comment ref="R154" authorId="0">
      <text>
        <r>
          <rPr>
            <b/>
            <sz val="9"/>
            <color indexed="81"/>
            <rFont val="Tahoma"/>
            <family val="2"/>
          </rPr>
          <t>Martha Cecilia Quintero Barreiro:</t>
        </r>
        <r>
          <rPr>
            <sz val="9"/>
            <color indexed="81"/>
            <rFont val="Tahoma"/>
            <family val="2"/>
          </rPr>
          <t xml:space="preserve">
se reducen de acuerdo al Memorando No. 000203 del 24/02/2017</t>
        </r>
      </text>
    </comment>
    <comment ref="I155" authorId="0">
      <text>
        <r>
          <rPr>
            <b/>
            <sz val="9"/>
            <color indexed="81"/>
            <rFont val="Tahoma"/>
            <family val="2"/>
          </rPr>
          <t>Martha Cecilia Quintero Barreiro:</t>
        </r>
        <r>
          <rPr>
            <sz val="9"/>
            <color indexed="81"/>
            <rFont val="Tahoma"/>
            <family val="2"/>
          </rPr>
          <t xml:space="preserve">
se modifica de acuerdo al Memorando No. 330 del 8 de marzo de 2017</t>
        </r>
      </text>
    </comment>
    <comment ref="I158" authorId="0">
      <text>
        <r>
          <rPr>
            <b/>
            <sz val="9"/>
            <color indexed="81"/>
            <rFont val="Tahoma"/>
            <family val="2"/>
          </rPr>
          <t>Martha Cecilia Quintero Barreiro:</t>
        </r>
        <r>
          <rPr>
            <sz val="9"/>
            <color indexed="81"/>
            <rFont val="Tahoma"/>
            <family val="2"/>
          </rPr>
          <t xml:space="preserve">
crea nuevo objeto contractual de acuerdo al memorando no. 356 del 10/03/2017</t>
        </r>
      </text>
    </comment>
    <comment ref="I159" authorId="0">
      <text>
        <r>
          <rPr>
            <b/>
            <sz val="9"/>
            <color indexed="81"/>
            <rFont val="Tahoma"/>
            <family val="2"/>
          </rPr>
          <t>Martha Cecilia Quintero Barreiro:</t>
        </r>
        <r>
          <rPr>
            <sz val="9"/>
            <color indexed="81"/>
            <rFont val="Tahoma"/>
            <family val="2"/>
          </rPr>
          <t xml:space="preserve">
Modificación del 26 de mayo de 2017</t>
        </r>
      </text>
    </comment>
    <comment ref="R159" authorId="0">
      <text>
        <r>
          <rPr>
            <b/>
            <sz val="9"/>
            <color indexed="81"/>
            <rFont val="Tahoma"/>
            <family val="2"/>
          </rPr>
          <t>Martha Cecilia Quintero Barreiro:</t>
        </r>
        <r>
          <rPr>
            <sz val="9"/>
            <color indexed="81"/>
            <rFont val="Tahoma"/>
            <family val="2"/>
          </rPr>
          <t xml:space="preserve">
se adicionan 7,912,624 de acuerdo al memorando No. 1016 del 22/06/2017</t>
        </r>
      </text>
    </comment>
    <comment ref="I160" authorId="0">
      <text>
        <r>
          <rPr>
            <b/>
            <sz val="9"/>
            <color indexed="81"/>
            <rFont val="Tahoma"/>
            <family val="2"/>
          </rPr>
          <t>Martha Cecilia Quintero Barreiro:</t>
        </r>
        <r>
          <rPr>
            <sz val="9"/>
            <color indexed="81"/>
            <rFont val="Tahoma"/>
            <family val="2"/>
          </rPr>
          <t xml:space="preserve">
se crea nuevo objeto contractual de acuerdo al Memorando No. 1634 de noviembre de 2017</t>
        </r>
      </text>
    </comment>
    <comment ref="I165" authorId="0">
      <text>
        <r>
          <rPr>
            <b/>
            <sz val="9"/>
            <color indexed="81"/>
            <rFont val="Tahoma"/>
            <family val="2"/>
          </rPr>
          <t>Martha Cecilia Quintero Barreiro:</t>
        </r>
        <r>
          <rPr>
            <sz val="9"/>
            <color indexed="81"/>
            <rFont val="Tahoma"/>
            <family val="2"/>
          </rPr>
          <t xml:space="preserve">
SE CAMBIA EL OBJETODE ACUERDO AL MEMORANDO No. 330 DE 8 DE MARZO DE 2017</t>
        </r>
      </text>
    </comment>
    <comment ref="R165" authorId="0">
      <text>
        <r>
          <rPr>
            <b/>
            <sz val="9"/>
            <color indexed="81"/>
            <rFont val="Tahoma"/>
            <family val="2"/>
          </rPr>
          <t>Martha Cecilia Quintero Barreiro:</t>
        </r>
        <r>
          <rPr>
            <sz val="9"/>
            <color indexed="81"/>
            <rFont val="Tahoma"/>
            <family val="2"/>
          </rPr>
          <t xml:space="preserve">
SE REDUCE DE ACUERDO A MEMORANDO No. 203 DEL 24/02/2017</t>
        </r>
      </text>
    </comment>
    <comment ref="I167" authorId="0">
      <text>
        <r>
          <rPr>
            <b/>
            <sz val="9"/>
            <color indexed="81"/>
            <rFont val="Tahoma"/>
            <family val="2"/>
          </rPr>
          <t>Martha Cecilia Quintero Barreiro:</t>
        </r>
        <r>
          <rPr>
            <sz val="9"/>
            <color indexed="81"/>
            <rFont val="Tahoma"/>
            <family val="2"/>
          </rPr>
          <t xml:space="preserve">
se crean nuevos objetos contractuales de acuerdo al memorando No.725 del 28/04/2017</t>
        </r>
      </text>
    </comment>
    <comment ref="L167" authorId="0">
      <text>
        <r>
          <rPr>
            <b/>
            <sz val="9"/>
            <color indexed="81"/>
            <rFont val="Tahoma"/>
            <family val="2"/>
          </rPr>
          <t>Martha Cecilia Quintero Barreiro:</t>
        </r>
        <r>
          <rPr>
            <sz val="9"/>
            <color indexed="81"/>
            <rFont val="Tahoma"/>
            <family val="2"/>
          </rPr>
          <t xml:space="preserve">
se modifica de agosto para septiembre según memorando No. 1212 de 08/09/2016</t>
        </r>
      </text>
    </comment>
    <comment ref="I168" authorId="0">
      <text>
        <r>
          <rPr>
            <b/>
            <sz val="9"/>
            <color indexed="81"/>
            <rFont val="Tahoma"/>
            <family val="2"/>
          </rPr>
          <t>Martha Cecilia Quintero Barreiro:</t>
        </r>
        <r>
          <rPr>
            <sz val="9"/>
            <color indexed="81"/>
            <rFont val="Tahoma"/>
            <family val="2"/>
          </rPr>
          <t xml:space="preserve">
se crean nuevos objetos contractuales de acuerdo al memorando No.725 del 28/04/2017</t>
        </r>
      </text>
    </comment>
    <comment ref="I169" authorId="0">
      <text>
        <r>
          <rPr>
            <b/>
            <sz val="9"/>
            <color indexed="81"/>
            <rFont val="Tahoma"/>
            <family val="2"/>
          </rPr>
          <t>Martha Cecilia Quintero Barreiro:</t>
        </r>
        <r>
          <rPr>
            <sz val="9"/>
            <color indexed="81"/>
            <rFont val="Tahoma"/>
            <family val="2"/>
          </rPr>
          <t xml:space="preserve">
se crean nuevos objetos contractuales de acuerdo al memorando No.725 del 28/04/2017
Modificación memorando 000908 del 26 de mayo de 2017</t>
        </r>
      </text>
    </comment>
    <comment ref="N169" authorId="0">
      <text>
        <r>
          <rPr>
            <b/>
            <sz val="9"/>
            <color indexed="81"/>
            <rFont val="Tahoma"/>
            <family val="2"/>
          </rPr>
          <t>Martha Cecilia Quintero Barreiro:</t>
        </r>
        <r>
          <rPr>
            <sz val="9"/>
            <color indexed="81"/>
            <rFont val="Tahoma"/>
            <family val="2"/>
          </rPr>
          <t xml:space="preserve">
Modificación memorando 000908 del 26 de mayo de 2017</t>
        </r>
      </text>
    </comment>
    <comment ref="I170" authorId="0">
      <text>
        <r>
          <rPr>
            <b/>
            <sz val="9"/>
            <color indexed="81"/>
            <rFont val="Tahoma"/>
            <family val="2"/>
          </rPr>
          <t>Martha Cecilia Quintero Barreiro:</t>
        </r>
        <r>
          <rPr>
            <sz val="9"/>
            <color indexed="81"/>
            <rFont val="Tahoma"/>
            <family val="2"/>
          </rPr>
          <t xml:space="preserve">
se crea nuevo objeto contractual de acuerdo al Memorando No. 1634 de noviembre de 2017</t>
        </r>
      </text>
    </comment>
  </commentList>
</comments>
</file>

<file path=xl/comments2.xml><?xml version="1.0" encoding="utf-8"?>
<comments xmlns="http://schemas.openxmlformats.org/spreadsheetml/2006/main">
  <authors>
    <author>Martha Cecilia Quintero Barreiro</author>
  </authors>
  <commentList>
    <comment ref="J9" authorId="0">
      <text>
        <r>
          <rPr>
            <b/>
            <sz val="9"/>
            <color indexed="81"/>
            <rFont val="Tahoma"/>
            <family val="2"/>
          </rPr>
          <t>Martha Cecilia Quintero Barreiro:</t>
        </r>
        <r>
          <rPr>
            <sz val="9"/>
            <color indexed="81"/>
            <rFont val="Tahoma"/>
            <family val="2"/>
          </rPr>
          <t xml:space="preserve">
SE modifica el mes de acuerdo con el memorando No.592 de 18/04/2017</t>
        </r>
      </text>
    </comment>
    <comment ref="E10" authorId="0">
      <text>
        <r>
          <rPr>
            <b/>
            <sz val="9"/>
            <color indexed="81"/>
            <rFont val="Tahoma"/>
            <family val="2"/>
          </rPr>
          <t>Martha Cecilia Quintero Barreiro: se crea nuevo objeto contractual</t>
        </r>
        <r>
          <rPr>
            <sz val="9"/>
            <color indexed="81"/>
            <rFont val="Tahoma"/>
            <family val="2"/>
          </rPr>
          <t xml:space="preserve">
acuerdo al memorando no. 1171 del 26/07/2017
Se modifica el objeto contractual de acuerdo al Memorando No. 1560 de 27/10/2017</t>
        </r>
      </text>
    </comment>
    <comment ref="N10" authorId="0">
      <text>
        <r>
          <rPr>
            <b/>
            <sz val="9"/>
            <color indexed="81"/>
            <rFont val="Tahoma"/>
            <family val="2"/>
          </rPr>
          <t>Martha Cecilia Quintero Barreiro:</t>
        </r>
        <r>
          <rPr>
            <sz val="9"/>
            <color indexed="81"/>
            <rFont val="Tahoma"/>
            <family val="2"/>
          </rPr>
          <t xml:space="preserve">
Se reducen de acuerdo al memorando No. 1580 del 02/11/2017</t>
        </r>
      </text>
    </comment>
    <comment ref="E14" authorId="0">
      <text>
        <r>
          <rPr>
            <b/>
            <sz val="9"/>
            <color indexed="81"/>
            <rFont val="Tahoma"/>
            <family val="2"/>
          </rPr>
          <t>Martha Cecilia Quintero Barreiro:</t>
        </r>
        <r>
          <rPr>
            <sz val="9"/>
            <color indexed="81"/>
            <rFont val="Tahoma"/>
            <family val="2"/>
          </rPr>
          <t xml:space="preserve">
Modificación memorando 000908 del 26 de mayo de 2017
Se modifica el objeto contractual de acuerdo al Memorando NO: 1272 del 14/08/2017</t>
        </r>
      </text>
    </comment>
    <comment ref="J14" authorId="0">
      <text>
        <r>
          <rPr>
            <b/>
            <sz val="9"/>
            <color indexed="81"/>
            <rFont val="Tahoma"/>
            <family val="2"/>
          </rPr>
          <t>Martha Cecilia Quintero Barreiro:</t>
        </r>
        <r>
          <rPr>
            <sz val="9"/>
            <color indexed="81"/>
            <rFont val="Tahoma"/>
            <family val="2"/>
          </rPr>
          <t xml:space="preserve">
Se modifica de agosto para septiembreacuerdo al memorando no. 1171 del 26/07/2017</t>
        </r>
      </text>
    </comment>
    <comment ref="N14" authorId="0">
      <text>
        <r>
          <rPr>
            <b/>
            <sz val="9"/>
            <color indexed="81"/>
            <rFont val="Tahoma"/>
            <family val="2"/>
          </rPr>
          <t>Martha Cecilia Quintero Barreiro:</t>
        </r>
        <r>
          <rPr>
            <sz val="9"/>
            <color indexed="81"/>
            <rFont val="Tahoma"/>
            <family val="2"/>
          </rPr>
          <t xml:space="preserve">
adicionan  5,100,000 y 7,467,523 de acuerdo al Memorando NO: 1272 del 14/08/2017
SE REDUCEN 12,583,000 DE ACUERDO AL MEMORANDO No. 1432 DE 26/09/2017
Se reducen de acuerdo al memorando No. 1580 del 02/11/2017</t>
        </r>
      </text>
    </comment>
    <comment ref="E16" authorId="0">
      <text>
        <r>
          <rPr>
            <b/>
            <sz val="9"/>
            <color indexed="81"/>
            <rFont val="Tahoma"/>
            <family val="2"/>
          </rPr>
          <t>Martha Cecilia Quintero Barreiro:</t>
        </r>
        <r>
          <rPr>
            <sz val="9"/>
            <color indexed="81"/>
            <rFont val="Tahoma"/>
            <family val="2"/>
          </rPr>
          <t xml:space="preserve">
se modifica de acuerdo al Memorando 356 del 10/03/2017</t>
        </r>
      </text>
    </comment>
    <comment ref="N17" authorId="0">
      <text>
        <r>
          <rPr>
            <b/>
            <sz val="9"/>
            <color indexed="81"/>
            <rFont val="Tahoma"/>
            <family val="2"/>
          </rPr>
          <t>Martha Cecilia Quintero Barreiro:</t>
        </r>
        <r>
          <rPr>
            <sz val="9"/>
            <color indexed="81"/>
            <rFont val="Tahoma"/>
            <family val="2"/>
          </rPr>
          <t xml:space="preserve">
se adicionan de acuerdo al Memorando 356 de 10/03/2017</t>
        </r>
      </text>
    </comment>
    <comment ref="E22" authorId="0">
      <text>
        <r>
          <rPr>
            <b/>
            <sz val="9"/>
            <color indexed="81"/>
            <rFont val="Tahoma"/>
            <family val="2"/>
          </rPr>
          <t>Martha Cecilia Quintero Barreiro:</t>
        </r>
        <r>
          <rPr>
            <sz val="9"/>
            <color indexed="81"/>
            <rFont val="Tahoma"/>
            <family val="2"/>
          </rPr>
          <t xml:space="preserve">
Modificación del 26 de mayo de 2017</t>
        </r>
      </text>
    </comment>
    <comment ref="N22" authorId="0">
      <text>
        <r>
          <rPr>
            <b/>
            <sz val="9"/>
            <color indexed="81"/>
            <rFont val="Tahoma"/>
            <family val="2"/>
          </rPr>
          <t>Martha Cecilia Quintero Barreiro:</t>
        </r>
        <r>
          <rPr>
            <sz val="9"/>
            <color indexed="81"/>
            <rFont val="Tahoma"/>
            <family val="2"/>
          </rPr>
          <t xml:space="preserve">
se reducen 5,100,000 de acuerdo al Memorando NO: 1272 del 14/08/2017
SE ADICIONAN 12,583,000 DE ACUERDO A MEMORANDO No. 1432 de 26/09/2017</t>
        </r>
      </text>
    </comment>
    <comment ref="E24" authorId="0">
      <text>
        <r>
          <rPr>
            <b/>
            <sz val="9"/>
            <color indexed="81"/>
            <rFont val="Tahoma"/>
            <family val="2"/>
          </rPr>
          <t>Martha Cecilia Quintero Barreiro:</t>
        </r>
        <r>
          <rPr>
            <sz val="9"/>
            <color indexed="81"/>
            <rFont val="Tahoma"/>
            <family val="2"/>
          </rPr>
          <t xml:space="preserve">
Modificación del 26 de mayo de 2017</t>
        </r>
      </text>
    </comment>
    <comment ref="N24" authorId="0">
      <text>
        <r>
          <rPr>
            <b/>
            <sz val="9"/>
            <color indexed="81"/>
            <rFont val="Tahoma"/>
            <family val="2"/>
          </rPr>
          <t>Martha Cecilia Quintero Barreiro:</t>
        </r>
        <r>
          <rPr>
            <sz val="9"/>
            <color indexed="81"/>
            <rFont val="Tahoma"/>
            <family val="2"/>
          </rPr>
          <t xml:space="preserve">
se reducen 7,467523de acuerdo al Memorando NO: 1272 del 14/08/2017</t>
        </r>
      </text>
    </comment>
    <comment ref="E27" authorId="0">
      <text>
        <r>
          <rPr>
            <b/>
            <sz val="9"/>
            <color indexed="81"/>
            <rFont val="Tahoma"/>
            <family val="2"/>
          </rPr>
          <t>Martha Cecilia Quintero Barreiro:</t>
        </r>
        <r>
          <rPr>
            <sz val="9"/>
            <color indexed="81"/>
            <rFont val="Tahoma"/>
            <family val="2"/>
          </rPr>
          <t xml:space="preserve">
se modifica el objto contratual de acuerdo al Memorando 1576 de 01/11/2017</t>
        </r>
      </text>
    </comment>
    <comment ref="F27" authorId="0">
      <text>
        <r>
          <rPr>
            <b/>
            <sz val="9"/>
            <color indexed="81"/>
            <rFont val="Tahoma"/>
            <family val="2"/>
          </rPr>
          <t>Martha Cecilia Quintero Barreiro:</t>
        </r>
        <r>
          <rPr>
            <sz val="9"/>
            <color indexed="81"/>
            <rFont val="Tahoma"/>
            <family val="2"/>
          </rPr>
          <t xml:space="preserve">
se modificaron de acuerdo a solcitud de juridica</t>
        </r>
      </text>
    </comment>
    <comment ref="J27" authorId="0">
      <text>
        <r>
          <rPr>
            <b/>
            <sz val="9"/>
            <color indexed="81"/>
            <rFont val="Tahoma"/>
            <family val="2"/>
          </rPr>
          <t>Martha Cecilia Quintero Barreiro:</t>
        </r>
        <r>
          <rPr>
            <sz val="9"/>
            <color indexed="81"/>
            <rFont val="Tahoma"/>
            <family val="2"/>
          </rPr>
          <t xml:space="preserve">
Modificación memorando del 26 de mayo de 2017</t>
        </r>
      </text>
    </comment>
    <comment ref="K27" authorId="0">
      <text>
        <r>
          <rPr>
            <b/>
            <sz val="9"/>
            <color indexed="81"/>
            <rFont val="Tahoma"/>
            <family val="2"/>
          </rPr>
          <t>Martha Cecilia Quintero Barreiro:</t>
        </r>
        <r>
          <rPr>
            <sz val="9"/>
            <color indexed="81"/>
            <rFont val="Tahoma"/>
            <family val="2"/>
          </rPr>
          <t xml:space="preserve">
Modificación memorando del 26 de mayo de 2017</t>
        </r>
      </text>
    </comment>
    <comment ref="P27" authorId="0">
      <text>
        <r>
          <rPr>
            <b/>
            <sz val="9"/>
            <color indexed="81"/>
            <rFont val="Tahoma"/>
            <family val="2"/>
          </rPr>
          <t>Martha Cecilia Quintero Barreiro:</t>
        </r>
        <r>
          <rPr>
            <sz val="9"/>
            <color indexed="81"/>
            <rFont val="Tahoma"/>
            <family val="2"/>
          </rPr>
          <t xml:space="preserve">
Se reducen de acuerdo a la Resolución No. 7 del 09 de octubre de 2017 </t>
        </r>
      </text>
    </comment>
    <comment ref="E30" authorId="0">
      <text>
        <r>
          <rPr>
            <b/>
            <sz val="9"/>
            <color indexed="81"/>
            <rFont val="Tahoma"/>
            <family val="2"/>
          </rPr>
          <t>Martha Cecilia Quintero Barreiro:</t>
        </r>
        <r>
          <rPr>
            <sz val="9"/>
            <color indexed="81"/>
            <rFont val="Tahoma"/>
            <family val="2"/>
          </rPr>
          <t xml:space="preserve">
se modifica el objto contratual de acuerdo al Memorando 1576 de 01/11/2017</t>
        </r>
      </text>
    </comment>
    <comment ref="J30" authorId="0">
      <text>
        <r>
          <rPr>
            <b/>
            <sz val="9"/>
            <color indexed="81"/>
            <rFont val="Tahoma"/>
            <family val="2"/>
          </rPr>
          <t>Martha Cecilia Quintero Barreiro: de agosto para septiembre</t>
        </r>
        <r>
          <rPr>
            <sz val="9"/>
            <color indexed="81"/>
            <rFont val="Tahoma"/>
            <family val="2"/>
          </rPr>
          <t xml:space="preserve">
acuerdo al memorando no. 1171 del 26/07/2017</t>
        </r>
      </text>
    </comment>
    <comment ref="E35" authorId="0">
      <text>
        <r>
          <rPr>
            <b/>
            <sz val="9"/>
            <color indexed="81"/>
            <rFont val="Tahoma"/>
            <family val="2"/>
          </rPr>
          <t>Martha Cecilia Quintero Barreiro:</t>
        </r>
        <r>
          <rPr>
            <sz val="9"/>
            <color indexed="81"/>
            <rFont val="Tahoma"/>
            <family val="2"/>
          </rPr>
          <t xml:space="preserve">
Se modifica el objeto contractual de acuerdo al Memorando NO.203 del 22/02/2017</t>
        </r>
      </text>
    </comment>
    <comment ref="E36" authorId="0">
      <text>
        <r>
          <rPr>
            <b/>
            <sz val="9"/>
            <color indexed="81"/>
            <rFont val="Tahoma"/>
            <family val="2"/>
          </rPr>
          <t>Martha Cecilia Quintero Barreiro:</t>
        </r>
        <r>
          <rPr>
            <sz val="9"/>
            <color indexed="81"/>
            <rFont val="Tahoma"/>
            <family val="2"/>
          </rPr>
          <t xml:space="preserve">
Se modifica el objeto contractual de acuerdo al Memorando NO.203 del 22/02/2017</t>
        </r>
      </text>
    </comment>
    <comment ref="E37" authorId="0">
      <text>
        <r>
          <rPr>
            <b/>
            <sz val="9"/>
            <color indexed="81"/>
            <rFont val="Tahoma"/>
            <family val="2"/>
          </rPr>
          <t>Martha Cecilia Quintero Barreiro:</t>
        </r>
        <r>
          <rPr>
            <sz val="9"/>
            <color indexed="81"/>
            <rFont val="Tahoma"/>
            <family val="2"/>
          </rPr>
          <t xml:space="preserve">
Se modifica el objeto contractual de acuerdo al Memorando NO.203 del 22/02/2017</t>
        </r>
      </text>
    </comment>
    <comment ref="E38" authorId="0">
      <text>
        <r>
          <rPr>
            <b/>
            <sz val="9"/>
            <color indexed="81"/>
            <rFont val="Tahoma"/>
            <family val="2"/>
          </rPr>
          <t>Martha Cecilia Quintero Barreiro:</t>
        </r>
        <r>
          <rPr>
            <sz val="9"/>
            <color indexed="81"/>
            <rFont val="Tahoma"/>
            <family val="2"/>
          </rPr>
          <t xml:space="preserve">
Se modifica el objeto contractual de acuerdo al Memorando NO.203 del 22/02/2017</t>
        </r>
      </text>
    </comment>
    <comment ref="N39" authorId="0">
      <text>
        <r>
          <rPr>
            <b/>
            <sz val="9"/>
            <color indexed="81"/>
            <rFont val="Tahoma"/>
            <family val="2"/>
          </rPr>
          <t>Martha Cecilia Quintero Barreiro:</t>
        </r>
        <r>
          <rPr>
            <sz val="9"/>
            <color indexed="81"/>
            <rFont val="Tahoma"/>
            <family val="2"/>
          </rPr>
          <t xml:space="preserve">
se adicionan 3,955,710 según memroando No. 203 del 24/02/2017</t>
        </r>
      </text>
    </comment>
    <comment ref="E41" authorId="0">
      <text>
        <r>
          <rPr>
            <b/>
            <sz val="9"/>
            <color indexed="81"/>
            <rFont val="Tahoma"/>
            <family val="2"/>
          </rPr>
          <t>Martha Cecilia Quintero Barreiro:</t>
        </r>
        <r>
          <rPr>
            <sz val="9"/>
            <color indexed="81"/>
            <rFont val="Tahoma"/>
            <family val="2"/>
          </rPr>
          <t xml:space="preserve">
Se modifica objeto contractual de acuerdo al Memorando 000093 del 8 de febrero de 2017</t>
        </r>
      </text>
    </comment>
    <comment ref="P42" authorId="0">
      <text>
        <r>
          <rPr>
            <b/>
            <sz val="9"/>
            <color indexed="81"/>
            <rFont val="Tahoma"/>
            <family val="2"/>
          </rPr>
          <t>Martha Cecilia Quintero Barreiro:</t>
        </r>
        <r>
          <rPr>
            <sz val="9"/>
            <color indexed="81"/>
            <rFont val="Tahoma"/>
            <family val="2"/>
          </rPr>
          <t xml:space="preserve">
se reducen de acuerdo a Resolución 07 de 2017 714,000</t>
        </r>
      </text>
    </comment>
    <comment ref="E43" authorId="0">
      <text>
        <r>
          <rPr>
            <b/>
            <sz val="9"/>
            <color indexed="81"/>
            <rFont val="Tahoma"/>
            <family val="2"/>
          </rPr>
          <t>Martha Cecilia Quintero Barreiro:</t>
        </r>
        <r>
          <rPr>
            <sz val="9"/>
            <color indexed="81"/>
            <rFont val="Tahoma"/>
            <family val="2"/>
          </rPr>
          <t xml:space="preserve">
Modificación del 26 de mayo de 2017</t>
        </r>
      </text>
    </comment>
    <comment ref="P44" authorId="0">
      <text>
        <r>
          <rPr>
            <b/>
            <sz val="9"/>
            <color indexed="81"/>
            <rFont val="Tahoma"/>
            <family val="2"/>
          </rPr>
          <t>Martha Cecilia Quintero Barreiro:</t>
        </r>
        <r>
          <rPr>
            <sz val="9"/>
            <color indexed="81"/>
            <rFont val="Tahoma"/>
            <family val="2"/>
          </rPr>
          <t xml:space="preserve">
se reducen de acuerdo a Resolución 07 de 2017 6,502256</t>
        </r>
      </text>
    </comment>
    <comment ref="E45" authorId="0">
      <text>
        <r>
          <rPr>
            <b/>
            <sz val="9"/>
            <color indexed="81"/>
            <rFont val="Tahoma"/>
            <family val="2"/>
          </rPr>
          <t>Martha Cecilia Quintero Barreiro:</t>
        </r>
        <r>
          <rPr>
            <sz val="9"/>
            <color indexed="81"/>
            <rFont val="Tahoma"/>
            <family val="2"/>
          </rPr>
          <t xml:space="preserve">
memo 001580</t>
        </r>
      </text>
    </comment>
    <comment ref="N45" authorId="0">
      <text>
        <r>
          <rPr>
            <b/>
            <sz val="9"/>
            <color indexed="81"/>
            <rFont val="Tahoma"/>
            <family val="2"/>
          </rPr>
          <t>Martha Cecilia Quintero Barreiro:</t>
        </r>
        <r>
          <rPr>
            <sz val="9"/>
            <color indexed="81"/>
            <rFont val="Tahoma"/>
            <family val="2"/>
          </rPr>
          <t xml:space="preserve">
se adicionan 110626 de acuerdo al Memorando No. 1733 del 12/12/2017</t>
        </r>
      </text>
    </comment>
    <comment ref="E46" authorId="0">
      <text>
        <r>
          <rPr>
            <b/>
            <sz val="9"/>
            <color indexed="81"/>
            <rFont val="Tahoma"/>
            <family val="2"/>
          </rPr>
          <t>Martha Cecilia Quintero Barreiro:</t>
        </r>
        <r>
          <rPr>
            <sz val="9"/>
            <color indexed="81"/>
            <rFont val="Tahoma"/>
            <family val="2"/>
          </rPr>
          <t xml:space="preserve">
se crea nuevo objeto contractual de acuerdo al Memorando No.1580 del 02/11/2017</t>
        </r>
      </text>
    </comment>
    <comment ref="N47" authorId="0">
      <text>
        <r>
          <rPr>
            <b/>
            <sz val="9"/>
            <color indexed="81"/>
            <rFont val="Tahoma"/>
            <family val="2"/>
          </rPr>
          <t>Martha Cecilia Quintero Barreiro:</t>
        </r>
        <r>
          <rPr>
            <sz val="9"/>
            <color indexed="81"/>
            <rFont val="Tahoma"/>
            <family val="2"/>
          </rPr>
          <t xml:space="preserve">
se reduen 110626 de acuerdo al Memorando No.1733 del 12/12/2017</t>
        </r>
      </text>
    </comment>
    <comment ref="J48"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J49" authorId="0">
      <text>
        <r>
          <rPr>
            <b/>
            <sz val="9"/>
            <color indexed="81"/>
            <rFont val="Tahoma"/>
            <family val="2"/>
          </rPr>
          <t>Martha Cecilia Quintero Barreiro:</t>
        </r>
        <r>
          <rPr>
            <sz val="9"/>
            <color indexed="81"/>
            <rFont val="Tahoma"/>
            <family val="2"/>
          </rPr>
          <t xml:space="preserve">
Modificación memorando del 26 de mayo de 2017</t>
        </r>
      </text>
    </comment>
    <comment ref="L49" authorId="0">
      <text>
        <r>
          <rPr>
            <b/>
            <sz val="9"/>
            <color indexed="81"/>
            <rFont val="Tahoma"/>
            <family val="2"/>
          </rPr>
          <t>Martha Cecilia Quintero Barreiro:</t>
        </r>
        <r>
          <rPr>
            <sz val="9"/>
            <color indexed="81"/>
            <rFont val="Tahoma"/>
            <family val="2"/>
          </rPr>
          <t xml:space="preserve">
Modificación memorando del 26 de mayo de 2017</t>
        </r>
      </text>
    </comment>
    <comment ref="E51" authorId="0">
      <text>
        <r>
          <rPr>
            <b/>
            <sz val="9"/>
            <color indexed="81"/>
            <rFont val="Tahoma"/>
            <family val="2"/>
          </rPr>
          <t>Martha Cecilia Quintero Barreiro:</t>
        </r>
        <r>
          <rPr>
            <sz val="9"/>
            <color indexed="81"/>
            <rFont val="Tahoma"/>
            <family val="2"/>
          </rPr>
          <t xml:space="preserve">
</t>
        </r>
      </text>
    </comment>
    <comment ref="J54" authorId="0">
      <text>
        <r>
          <rPr>
            <b/>
            <sz val="9"/>
            <color indexed="81"/>
            <rFont val="Tahoma"/>
            <family val="2"/>
          </rPr>
          <t>Martha Cecilia Quintero Barreiro:</t>
        </r>
        <r>
          <rPr>
            <sz val="9"/>
            <color indexed="81"/>
            <rFont val="Tahoma"/>
            <family val="2"/>
          </rPr>
          <t xml:space="preserve">
se modifica la fecha de acuerdo al Memorando No.689 del 25/04/2017</t>
        </r>
      </text>
    </comment>
    <comment ref="N54" authorId="0">
      <text>
        <r>
          <rPr>
            <b/>
            <sz val="9"/>
            <color indexed="81"/>
            <rFont val="Tahoma"/>
            <family val="2"/>
          </rPr>
          <t>Martha Cecilia Quintero Barreiro:</t>
        </r>
        <r>
          <rPr>
            <sz val="9"/>
            <color indexed="81"/>
            <rFont val="Tahoma"/>
            <family val="2"/>
          </rPr>
          <t xml:space="preserve">
 SE REDUCE DE ACUERDO AL MEMORANDO NO. 689 DEL 25/04/2017</t>
        </r>
      </text>
    </comment>
    <comment ref="P55" authorId="0">
      <text>
        <r>
          <rPr>
            <b/>
            <sz val="9"/>
            <color indexed="81"/>
            <rFont val="Tahoma"/>
            <family val="2"/>
          </rPr>
          <t>Martha Cecilia Quintero Barreiro:</t>
        </r>
        <r>
          <rPr>
            <sz val="9"/>
            <color indexed="81"/>
            <rFont val="Tahoma"/>
            <family val="2"/>
          </rPr>
          <t xml:space="preserve">
se reducen de acuerdo a Resolución 07 de 2017 3,230,000</t>
        </r>
      </text>
    </comment>
    <comment ref="E56" authorId="0">
      <text>
        <r>
          <rPr>
            <b/>
            <sz val="9"/>
            <color indexed="81"/>
            <rFont val="Tahoma"/>
            <family val="2"/>
          </rPr>
          <t>Martha Cecilia Quintero Barreiro:</t>
        </r>
        <r>
          <rPr>
            <sz val="9"/>
            <color indexed="81"/>
            <rFont val="Tahoma"/>
            <family val="2"/>
          </rPr>
          <t xml:space="preserve">
SE CREA NUEVO OBJETO DE ACUERDO AL MEMORANDO NO. 689 DEL 25/04/2017</t>
        </r>
      </text>
    </comment>
    <comment ref="J56" authorId="0">
      <text>
        <r>
          <rPr>
            <b/>
            <sz val="9"/>
            <color indexed="81"/>
            <rFont val="Tahoma"/>
            <family val="2"/>
          </rPr>
          <t>Martha Cecilia Quintero Barreiro:</t>
        </r>
        <r>
          <rPr>
            <sz val="9"/>
            <color indexed="81"/>
            <rFont val="Tahoma"/>
            <family val="2"/>
          </rPr>
          <t xml:space="preserve">
se modifica la fecha de acuerdo al Memorando No.689 del 25/04/201</t>
        </r>
      </text>
    </comment>
    <comment ref="N56" authorId="0">
      <text>
        <r>
          <rPr>
            <b/>
            <sz val="9"/>
            <color indexed="81"/>
            <rFont val="Tahoma"/>
            <family val="2"/>
          </rPr>
          <t>Martha Cecilia Quintero Barreiro:</t>
        </r>
        <r>
          <rPr>
            <sz val="9"/>
            <color indexed="81"/>
            <rFont val="Tahoma"/>
            <family val="2"/>
          </rPr>
          <t xml:space="preserve">
SE ADICIONA DE ACUERDO AL MEMORANDO NO. 689 DEL 25/04/2017</t>
        </r>
      </text>
    </comment>
    <comment ref="N60" authorId="0">
      <text>
        <r>
          <rPr>
            <b/>
            <sz val="9"/>
            <color indexed="81"/>
            <rFont val="Tahoma"/>
            <family val="2"/>
          </rPr>
          <t xml:space="preserve">Martha Cecilia Quintero Barreiro: se reducen de </t>
        </r>
        <r>
          <rPr>
            <sz val="9"/>
            <color indexed="81"/>
            <rFont val="Tahoma"/>
            <family val="2"/>
          </rPr>
          <t xml:space="preserve">
acuerdo al memorando no. 1171 del 26/07/2017</t>
        </r>
      </text>
    </comment>
    <comment ref="E61" authorId="0">
      <text>
        <r>
          <rPr>
            <b/>
            <sz val="9"/>
            <color indexed="81"/>
            <rFont val="Tahoma"/>
            <family val="2"/>
          </rPr>
          <t>Martha Cecilia Quintero Barreiro:</t>
        </r>
        <r>
          <rPr>
            <sz val="9"/>
            <color indexed="81"/>
            <rFont val="Tahoma"/>
            <family val="2"/>
          </rPr>
          <t xml:space="preserve">
.</t>
        </r>
      </text>
    </comment>
    <comment ref="N61" authorId="0">
      <text>
        <r>
          <rPr>
            <b/>
            <sz val="9"/>
            <color indexed="81"/>
            <rFont val="Tahoma"/>
            <family val="2"/>
          </rPr>
          <t>Martha Cecilia Quintero Barreiro:</t>
        </r>
        <r>
          <rPr>
            <sz val="9"/>
            <color indexed="81"/>
            <rFont val="Tahoma"/>
            <family val="2"/>
          </rPr>
          <t xml:space="preserve">
Se reducen de acuerdo al memorando No. 1580 del 02/11/2017</t>
        </r>
      </text>
    </comment>
    <comment ref="E62" authorId="0">
      <text>
        <r>
          <rPr>
            <b/>
            <sz val="9"/>
            <color indexed="81"/>
            <rFont val="Tahoma"/>
            <family val="2"/>
          </rPr>
          <t>Martha Cecilia Quintero Barreiro:</t>
        </r>
        <r>
          <rPr>
            <sz val="9"/>
            <color indexed="81"/>
            <rFont val="Tahoma"/>
            <family val="2"/>
          </rPr>
          <t xml:space="preserve">
Se reduce de acuerdo al Memorando No. 492 del 5 de abril de 2017</t>
        </r>
      </text>
    </comment>
    <comment ref="J62" authorId="0">
      <text>
        <r>
          <rPr>
            <b/>
            <sz val="9"/>
            <color indexed="81"/>
            <rFont val="Tahoma"/>
            <family val="2"/>
          </rPr>
          <t>Martha Cecilia Quintero Barreiro:</t>
        </r>
        <r>
          <rPr>
            <sz val="9"/>
            <color indexed="81"/>
            <rFont val="Tahoma"/>
            <family val="2"/>
          </rPr>
          <t xml:space="preserve">
se modifica la fecha de acuerdo al Memorando no.689 del 25/04/2017</t>
        </r>
      </text>
    </comment>
    <comment ref="N62" authorId="0">
      <text>
        <r>
          <rPr>
            <b/>
            <sz val="9"/>
            <color indexed="81"/>
            <rFont val="Tahoma"/>
            <family val="2"/>
          </rPr>
          <t>Martha Cecilia Quintero Barreiro:</t>
        </r>
        <r>
          <rPr>
            <sz val="9"/>
            <color indexed="81"/>
            <rFont val="Tahoma"/>
            <family val="2"/>
          </rPr>
          <t xml:space="preserve">
Se reduce de acuerdo al Memorando No. 492 del 5 de abril de 2017</t>
        </r>
      </text>
    </comment>
    <comment ref="E63" authorId="0">
      <text>
        <r>
          <rPr>
            <b/>
            <sz val="9"/>
            <color indexed="81"/>
            <rFont val="Tahoma"/>
            <family val="2"/>
          </rPr>
          <t>Martha Cecilia Quintero Barreiro:</t>
        </r>
        <r>
          <rPr>
            <sz val="9"/>
            <color indexed="81"/>
            <rFont val="Tahoma"/>
            <family val="2"/>
          </rPr>
          <t xml:space="preserve">
Se crea una adición de acuerdo al Memorando No. 492 del 5 de abril de 2017</t>
        </r>
      </text>
    </comment>
    <comment ref="E64" authorId="0">
      <text>
        <r>
          <rPr>
            <b/>
            <sz val="9"/>
            <color indexed="81"/>
            <rFont val="Tahoma"/>
            <family val="2"/>
          </rPr>
          <t>Martha Cecilia Quintero Barreiro:</t>
        </r>
        <r>
          <rPr>
            <sz val="9"/>
            <color indexed="81"/>
            <rFont val="Tahoma"/>
            <family val="2"/>
          </rPr>
          <t xml:space="preserve">
SE CREA OBJETO DE ACUERDO AL MEMORANDO NO. 689 DEL 25/04/2017</t>
        </r>
      </text>
    </comment>
    <comment ref="N69" authorId="0">
      <text>
        <r>
          <rPr>
            <b/>
            <sz val="9"/>
            <color indexed="81"/>
            <rFont val="Tahoma"/>
            <family val="2"/>
          </rPr>
          <t>Martha Cecilia Quintero Barreiro:</t>
        </r>
        <r>
          <rPr>
            <sz val="9"/>
            <color indexed="81"/>
            <rFont val="Tahoma"/>
            <family val="2"/>
          </rPr>
          <t xml:space="preserve">
Se reducen de acuerdo al memorando No. 1580 del 02/11/2017</t>
        </r>
      </text>
    </comment>
    <comment ref="N71" authorId="0">
      <text>
        <r>
          <rPr>
            <b/>
            <sz val="9"/>
            <color indexed="81"/>
            <rFont val="Tahoma"/>
            <family val="2"/>
          </rPr>
          <t>Martha Cecilia Quintero Barreiro:</t>
        </r>
        <r>
          <rPr>
            <sz val="9"/>
            <color indexed="81"/>
            <rFont val="Tahoma"/>
            <family val="2"/>
          </rPr>
          <t xml:space="preserve">
Se reducen de acuerdo al memorando No. 1580 del 02/11/2017</t>
        </r>
      </text>
    </comment>
    <comment ref="J78" authorId="0">
      <text>
        <r>
          <rPr>
            <b/>
            <sz val="9"/>
            <color indexed="81"/>
            <rFont val="Tahoma"/>
            <family val="2"/>
          </rPr>
          <t>Martha Cecilia Quintero Barreiro:</t>
        </r>
        <r>
          <rPr>
            <sz val="9"/>
            <color indexed="81"/>
            <rFont val="Tahoma"/>
            <family val="2"/>
          </rPr>
          <t xml:space="preserve">
Modificación memorando del 26 de mayo de 2017</t>
        </r>
      </text>
    </comment>
    <comment ref="E80" authorId="0">
      <text>
        <r>
          <rPr>
            <b/>
            <sz val="9"/>
            <color indexed="81"/>
            <rFont val="Tahoma"/>
            <family val="2"/>
          </rPr>
          <t>Martha Cecilia Quintero Barreiro:</t>
        </r>
        <r>
          <rPr>
            <sz val="9"/>
            <color indexed="81"/>
            <rFont val="Tahoma"/>
            <family val="2"/>
          </rPr>
          <t xml:space="preserve">
se unen los dos objetos contractuales de acuerdo al Memorando No. 1634 de 20/11/2017</t>
        </r>
      </text>
    </comment>
    <comment ref="E82" authorId="0">
      <text>
        <r>
          <rPr>
            <b/>
            <sz val="9"/>
            <color indexed="81"/>
            <rFont val="Tahoma"/>
            <family val="2"/>
          </rPr>
          <t>Martha Cecilia Quintero Barreiro:</t>
        </r>
        <r>
          <rPr>
            <sz val="9"/>
            <color indexed="81"/>
            <rFont val="Tahoma"/>
            <family val="2"/>
          </rPr>
          <t xml:space="preserve">
se unen los dos objetos contractuales de acuerdo al Memorando No. 1634 de 20/11/2017</t>
        </r>
      </text>
    </comment>
    <comment ref="J83" authorId="0">
      <text>
        <r>
          <rPr>
            <b/>
            <sz val="9"/>
            <color indexed="81"/>
            <rFont val="Tahoma"/>
            <family val="2"/>
          </rPr>
          <t>Martha Cecilia Quintero Barreiro:</t>
        </r>
        <r>
          <rPr>
            <sz val="9"/>
            <color indexed="81"/>
            <rFont val="Tahoma"/>
            <family val="2"/>
          </rPr>
          <t xml:space="preserve">
Modificación memorando del 26 de mayo de 2017</t>
        </r>
      </text>
    </comment>
    <comment ref="E84" authorId="0">
      <text>
        <r>
          <rPr>
            <b/>
            <sz val="9"/>
            <color indexed="81"/>
            <rFont val="Tahoma"/>
            <family val="2"/>
          </rPr>
          <t>Martha Cecilia Quintero Barreiro:</t>
        </r>
        <r>
          <rPr>
            <sz val="9"/>
            <color indexed="81"/>
            <rFont val="Tahoma"/>
            <family val="2"/>
          </rPr>
          <t xml:space="preserve">
Memorando 000881 del 22 de mayo de 2017</t>
        </r>
      </text>
    </comment>
    <comment ref="J86" authorId="0">
      <text>
        <r>
          <rPr>
            <b/>
            <sz val="9"/>
            <color indexed="81"/>
            <rFont val="Tahoma"/>
            <family val="2"/>
          </rPr>
          <t>Martha Cecilia Quintero Barreiro:</t>
        </r>
        <r>
          <rPr>
            <sz val="9"/>
            <color indexed="81"/>
            <rFont val="Tahoma"/>
            <family val="2"/>
          </rPr>
          <t xml:space="preserve">
Modificación memorando del 26 de mayo de 2017</t>
        </r>
      </text>
    </comment>
    <comment ref="L86" authorId="0">
      <text>
        <r>
          <rPr>
            <b/>
            <sz val="9"/>
            <color indexed="81"/>
            <rFont val="Tahoma"/>
            <family val="2"/>
          </rPr>
          <t>Martha Cecilia Quintero Barreiro:</t>
        </r>
        <r>
          <rPr>
            <sz val="9"/>
            <color indexed="81"/>
            <rFont val="Tahoma"/>
            <family val="2"/>
          </rPr>
          <t xml:space="preserve">
Modificación memorando del 26 de mayo de 2017</t>
        </r>
      </text>
    </comment>
    <comment ref="P87" authorId="0">
      <text>
        <r>
          <rPr>
            <b/>
            <sz val="9"/>
            <color indexed="81"/>
            <rFont val="Tahoma"/>
            <family val="2"/>
          </rPr>
          <t>Martha Cecilia Quintero Barreiro:</t>
        </r>
        <r>
          <rPr>
            <sz val="9"/>
            <color indexed="81"/>
            <rFont val="Tahoma"/>
            <family val="2"/>
          </rPr>
          <t xml:space="preserve">
se reducen de acuerdo a Resolución 07 de 2017 888,000</t>
        </r>
      </text>
    </comment>
  </commentList>
</comments>
</file>

<file path=xl/comments3.xml><?xml version="1.0" encoding="utf-8"?>
<comments xmlns="http://schemas.openxmlformats.org/spreadsheetml/2006/main">
  <authors>
    <author>Martha Cecilia Quintero Barreiro</author>
  </authors>
  <commentList>
    <comment ref="B4" authorId="0">
      <text>
        <r>
          <rPr>
            <b/>
            <sz val="9"/>
            <color indexed="81"/>
            <rFont val="Tahoma"/>
            <family val="2"/>
          </rPr>
          <t>Martha Cecilia Quintero Barreiro:</t>
        </r>
        <r>
          <rPr>
            <sz val="9"/>
            <color indexed="81"/>
            <rFont val="Tahoma"/>
            <family val="2"/>
          </rPr>
          <t xml:space="preserve">
 Se reducen 36,790,287 Modificado mediante memorando No. 000093 del 08/02/2017</t>
        </r>
      </text>
    </comment>
    <comment ref="B5" authorId="0">
      <text>
        <r>
          <rPr>
            <b/>
            <sz val="9"/>
            <color indexed="81"/>
            <rFont val="Tahoma"/>
            <family val="2"/>
          </rPr>
          <t>Martha Cecilia Quintero Barreiro:</t>
        </r>
        <r>
          <rPr>
            <sz val="9"/>
            <color indexed="81"/>
            <rFont val="Tahoma"/>
            <family val="2"/>
          </rPr>
          <t xml:space="preserve">
Se adicionan 57,456,686 mediante memorando No. 000093 del 08/02/2017</t>
        </r>
      </text>
    </comment>
    <comment ref="B6" authorId="0">
      <text>
        <r>
          <rPr>
            <b/>
            <sz val="9"/>
            <color indexed="81"/>
            <rFont val="Tahoma"/>
            <family val="2"/>
          </rPr>
          <t>Martha Cecilia Quintero Barreiro:</t>
        </r>
        <r>
          <rPr>
            <sz val="9"/>
            <color indexed="81"/>
            <rFont val="Tahoma"/>
            <family val="2"/>
          </rPr>
          <t xml:space="preserve">
Se crea nueva actividad con 100,000,000 de acuerdo al Memorando No. 000093 del 08/02/2017</t>
        </r>
      </text>
    </comment>
    <comment ref="A8" authorId="0">
      <text>
        <r>
          <rPr>
            <b/>
            <sz val="9"/>
            <color indexed="81"/>
            <rFont val="Tahoma"/>
            <family val="2"/>
          </rPr>
          <t>Martha Cecilia Quintero Barreiro:</t>
        </r>
        <r>
          <rPr>
            <sz val="9"/>
            <color indexed="81"/>
            <rFont val="Tahoma"/>
            <family val="2"/>
          </rPr>
          <t xml:space="preserve">
Se elimina actividad de acuerdo al Memorando No. 000093 del 08/02/2017</t>
        </r>
      </text>
    </comment>
    <comment ref="B8" authorId="0">
      <text>
        <r>
          <rPr>
            <b/>
            <sz val="9"/>
            <color indexed="81"/>
            <rFont val="Tahoma"/>
            <family val="2"/>
          </rPr>
          <t>Martha Cecilia Quintero Barreiro:</t>
        </r>
        <r>
          <rPr>
            <sz val="9"/>
            <color indexed="81"/>
            <rFont val="Tahoma"/>
            <family val="2"/>
          </rPr>
          <t xml:space="preserve">
Se crea nueva actividad con 50,000,000 de acuerdo al Memorando No. 000093 del 08/02/2017</t>
        </r>
      </text>
    </comment>
    <comment ref="B9" authorId="0">
      <text>
        <r>
          <rPr>
            <b/>
            <sz val="9"/>
            <color indexed="81"/>
            <rFont val="Tahoma"/>
            <family val="2"/>
          </rPr>
          <t>Martha Cecilia Quintero Barreiro:</t>
        </r>
        <r>
          <rPr>
            <sz val="9"/>
            <color indexed="81"/>
            <rFont val="Tahoma"/>
            <family val="2"/>
          </rPr>
          <t xml:space="preserve">
Se adicionan 5,75,027 de acuerdo al Memorando No. 000093 del 08/02/2017
Se adicionan 8,000,000 de Acuerdo al Memorando No. 492 de 5 de abril de 2017</t>
        </r>
      </text>
    </comment>
    <comment ref="B10" authorId="0">
      <text>
        <r>
          <rPr>
            <b/>
            <sz val="9"/>
            <color indexed="81"/>
            <rFont val="Tahoma"/>
            <family val="2"/>
          </rPr>
          <t>Martha Cecilia Quintero Barreiro:</t>
        </r>
        <r>
          <rPr>
            <sz val="9"/>
            <color indexed="81"/>
            <rFont val="Tahoma"/>
            <family val="2"/>
          </rPr>
          <t xml:space="preserve">
Se adicionan 13,295,908 de acuerdo al Memorando No. 000093 del 08/02/2017
Se reducen 4,000,000 de Acuerdo al Memorando No. 492 de 5 de abril de 2017</t>
        </r>
      </text>
    </comment>
    <comment ref="B11" authorId="0">
      <text>
        <r>
          <rPr>
            <b/>
            <sz val="9"/>
            <color indexed="81"/>
            <rFont val="Tahoma"/>
            <family val="2"/>
          </rPr>
          <t>Martha Cecilia Quintero Barreiro:</t>
        </r>
        <r>
          <rPr>
            <sz val="9"/>
            <color indexed="81"/>
            <rFont val="Tahoma"/>
            <family val="2"/>
          </rPr>
          <t xml:space="preserve">
Se reducen 13,295,908 de acuerdo al Memorando No. 000093 del 08/02/2017
Se reducen 4,000,000 de Acuerdo al Memorando No. 492 de 5 de abril de 2017</t>
        </r>
      </text>
    </comment>
    <comment ref="I13" authorId="0">
      <text>
        <r>
          <rPr>
            <b/>
            <sz val="9"/>
            <color indexed="81"/>
            <rFont val="Tahoma"/>
            <family val="2"/>
          </rPr>
          <t>Martha Cecilia Quintero Barreiro:</t>
        </r>
        <r>
          <rPr>
            <sz val="9"/>
            <color indexed="81"/>
            <rFont val="Tahoma"/>
            <family val="2"/>
          </rPr>
          <t xml:space="preserve">
Se reducen 101,310,678 de acuerdo al Memorando No. 000093 del 08/02/2017</t>
        </r>
      </text>
    </comment>
    <comment ref="B14" authorId="0">
      <text>
        <r>
          <rPr>
            <b/>
            <sz val="9"/>
            <color indexed="81"/>
            <rFont val="Tahoma"/>
            <family val="2"/>
          </rPr>
          <t>Martha Cecilia Quintero Barreiro:</t>
        </r>
        <r>
          <rPr>
            <sz val="9"/>
            <color indexed="81"/>
            <rFont val="Tahoma"/>
            <family val="2"/>
          </rPr>
          <t xml:space="preserve">
Se  reducen 17,474,886
de acuerdo al Memorando No. 000093 del 08/02/2017
Se ADICIONAN 7,912,624 de acuerdo a Memorando No. 1016   Del 22/06/2017</t>
        </r>
      </text>
    </comment>
    <comment ref="I14" authorId="0">
      <text>
        <r>
          <rPr>
            <b/>
            <sz val="9"/>
            <color indexed="81"/>
            <rFont val="Tahoma"/>
            <family val="2"/>
          </rPr>
          <t>Martha Cecilia Quintero Barreiro:</t>
        </r>
        <r>
          <rPr>
            <sz val="9"/>
            <color indexed="81"/>
            <rFont val="Tahoma"/>
            <family val="2"/>
          </rPr>
          <t xml:space="preserve">
Se adicinan 200,000,000 de acuerdo al Memorando No. 000093 del 08/02/2017</t>
        </r>
      </text>
    </comment>
    <comment ref="J14" authorId="0">
      <text>
        <r>
          <rPr>
            <b/>
            <sz val="9"/>
            <color indexed="81"/>
            <rFont val="Tahoma"/>
            <family val="2"/>
          </rPr>
          <t>Martha Cecilia Quintero Barreiro:</t>
        </r>
        <r>
          <rPr>
            <sz val="9"/>
            <color indexed="81"/>
            <rFont val="Tahoma"/>
            <family val="2"/>
          </rPr>
          <t xml:space="preserve">
Se adicionan de Acuerdo al Memorando No. 492 de 5 de abril de 2017</t>
        </r>
      </text>
    </comment>
    <comment ref="B15" authorId="0">
      <text>
        <r>
          <rPr>
            <b/>
            <sz val="9"/>
            <color indexed="81"/>
            <rFont val="Tahoma"/>
            <family val="2"/>
          </rPr>
          <t>Martha Cecilia Quintero Barreiro:</t>
        </r>
        <r>
          <rPr>
            <sz val="9"/>
            <color indexed="81"/>
            <rFont val="Tahoma"/>
            <family val="2"/>
          </rPr>
          <t xml:space="preserve">
Se  adicionan 17474886 
de acuerdo al Memorando No. 000093 del 08/02/2017
se REDUCEN 7,912,624 de acuerdo al memorando No. 1016   Del 22/06/2017</t>
        </r>
      </text>
    </comment>
    <comment ref="H15" authorId="0">
      <text>
        <r>
          <rPr>
            <b/>
            <sz val="9"/>
            <color indexed="81"/>
            <rFont val="Tahoma"/>
            <family val="2"/>
          </rPr>
          <t>Martha Cecilia Quintero Barreiro:</t>
        </r>
        <r>
          <rPr>
            <sz val="9"/>
            <color indexed="81"/>
            <rFont val="Tahoma"/>
            <family val="2"/>
          </rPr>
          <t xml:space="preserve">
Se crea una nueva actividad que estaba en el componente No. 1 de acuerdo al Memorando No. 000093 del 08/02/2017</t>
        </r>
      </text>
    </comment>
    <comment ref="I15" authorId="0">
      <text>
        <r>
          <rPr>
            <b/>
            <sz val="9"/>
            <color indexed="81"/>
            <rFont val="Tahoma"/>
            <family val="2"/>
          </rPr>
          <t>Martha Cecilia Quintero Barreiro:</t>
        </r>
        <r>
          <rPr>
            <sz val="9"/>
            <color indexed="81"/>
            <rFont val="Tahoma"/>
            <family val="2"/>
          </rPr>
          <t xml:space="preserve">
Se reducen 46,476,171
 acuerdo al Memorando No. 000093 del 08/02/2017</t>
        </r>
      </text>
    </comment>
    <comment ref="J15" authorId="0">
      <text>
        <r>
          <rPr>
            <b/>
            <sz val="9"/>
            <color indexed="81"/>
            <rFont val="Tahoma"/>
            <family val="2"/>
          </rPr>
          <t>Martha Cecilia Quintero Barreiro:</t>
        </r>
        <r>
          <rPr>
            <sz val="9"/>
            <color indexed="81"/>
            <rFont val="Tahoma"/>
            <family val="2"/>
          </rPr>
          <t xml:space="preserve">
Se adicionan de Acuerdo al Memorando No. 492 de 5 de abril de 2017</t>
        </r>
      </text>
    </comment>
    <comment ref="I16" authorId="0">
      <text>
        <r>
          <rPr>
            <b/>
            <sz val="9"/>
            <color indexed="81"/>
            <rFont val="Tahoma"/>
            <family val="2"/>
          </rPr>
          <t>Martha Cecilia Quintero Barreiro:</t>
        </r>
        <r>
          <rPr>
            <sz val="9"/>
            <color indexed="81"/>
            <rFont val="Tahoma"/>
            <family val="2"/>
          </rPr>
          <t xml:space="preserve">
Se adicionan 67,471,012 de acuerdo al Memorando No. 000093 del 08/02/2017</t>
        </r>
      </text>
    </comment>
    <comment ref="J17" authorId="0">
      <text>
        <r>
          <rPr>
            <b/>
            <sz val="9"/>
            <color indexed="81"/>
            <rFont val="Tahoma"/>
            <family val="2"/>
          </rPr>
          <t>Martha Cecilia Quintero Barreiro:</t>
        </r>
        <r>
          <rPr>
            <sz val="9"/>
            <color indexed="81"/>
            <rFont val="Tahoma"/>
            <family val="2"/>
          </rPr>
          <t xml:space="preserve">
Se adicionan de Acuerdo al Memorando No. 492 de 5 de abril de 2017</t>
        </r>
      </text>
    </comment>
    <comment ref="I18" authorId="0">
      <text>
        <r>
          <rPr>
            <b/>
            <sz val="9"/>
            <color indexed="81"/>
            <rFont val="Tahoma"/>
            <family val="2"/>
          </rPr>
          <t>Martha Cecilia Quintero Barreiro:</t>
        </r>
        <r>
          <rPr>
            <sz val="9"/>
            <color indexed="81"/>
            <rFont val="Tahoma"/>
            <family val="2"/>
          </rPr>
          <t xml:space="preserve">
Se adicionan 5,753,027 de acuerdo al Memorando No. 000093 del 08/02/2017</t>
        </r>
      </text>
    </comment>
    <comment ref="J18" authorId="0">
      <text>
        <r>
          <rPr>
            <b/>
            <sz val="9"/>
            <color indexed="81"/>
            <rFont val="Tahoma"/>
            <family val="2"/>
          </rPr>
          <t>Martha Cecilia Quintero Barreiro:</t>
        </r>
        <r>
          <rPr>
            <sz val="9"/>
            <color indexed="81"/>
            <rFont val="Tahoma"/>
            <family val="2"/>
          </rPr>
          <t xml:space="preserve">
Se adicionan 92,550,000 de acuerdo a acta de consejo directivo del 18 de agosto de 2016</t>
        </r>
      </text>
    </comment>
    <comment ref="I19" authorId="0">
      <text>
        <r>
          <rPr>
            <b/>
            <sz val="9"/>
            <color indexed="81"/>
            <rFont val="Tahoma"/>
            <family val="2"/>
          </rPr>
          <t>Martha Cecilia Quintero Barreiro:</t>
        </r>
        <r>
          <rPr>
            <sz val="9"/>
            <color indexed="81"/>
            <rFont val="Tahoma"/>
            <family val="2"/>
          </rPr>
          <t xml:space="preserve">
Se adicionan 21,630,046
 de acuerdo al Memorando No. 000093 del 08/02/2017
Se adicionan 247,380 de Acuerdo al Memorando No. 492 de 5 de abril de 2017
</t>
        </r>
      </text>
    </comment>
    <comment ref="I20" authorId="0">
      <text>
        <r>
          <rPr>
            <b/>
            <sz val="9"/>
            <color indexed="81"/>
            <rFont val="Tahoma"/>
            <family val="2"/>
          </rPr>
          <t>Martha Cecilia Quintero Barreiro:</t>
        </r>
        <r>
          <rPr>
            <sz val="9"/>
            <color indexed="81"/>
            <rFont val="Tahoma"/>
            <family val="2"/>
          </rPr>
          <t xml:space="preserve">
Se reducen 247,380 de Acuerdo al Memorando No. 492 de 5 de abril de 2017</t>
        </r>
      </text>
    </comment>
    <comment ref="I21" authorId="0">
      <text>
        <r>
          <rPr>
            <b/>
            <sz val="9"/>
            <color indexed="81"/>
            <rFont val="Tahoma"/>
            <family val="2"/>
          </rPr>
          <t>Martha Cecilia Quintero Barreiro:</t>
        </r>
        <r>
          <rPr>
            <sz val="9"/>
            <color indexed="81"/>
            <rFont val="Tahoma"/>
            <family val="2"/>
          </rPr>
          <t xml:space="preserve">
Se  reducen 27,383,073de acuerdo al Memorando No. 000093 del 08/02/2017</t>
        </r>
      </text>
    </comment>
    <comment ref="J22" authorId="0">
      <text>
        <r>
          <rPr>
            <b/>
            <sz val="9"/>
            <color indexed="81"/>
            <rFont val="Tahoma"/>
            <family val="2"/>
          </rPr>
          <t>Martha Cecilia Quintero Barreiro:</t>
        </r>
        <r>
          <rPr>
            <sz val="9"/>
            <color indexed="81"/>
            <rFont val="Tahoma"/>
            <family val="2"/>
          </rPr>
          <t xml:space="preserve">
Se adicionan de Acuerdo al Memorando No. 492 de 5 de abril de 2017</t>
        </r>
      </text>
    </comment>
  </commentList>
</comments>
</file>

<file path=xl/comments4.xml><?xml version="1.0" encoding="utf-8"?>
<comments xmlns="http://schemas.openxmlformats.org/spreadsheetml/2006/main">
  <authors>
    <author>Martha Cecilia Quintero Barreiro</author>
  </authors>
  <commentList>
    <comment ref="G13" authorId="0">
      <text>
        <r>
          <rPr>
            <b/>
            <sz val="9"/>
            <color indexed="81"/>
            <rFont val="Tahoma"/>
            <family val="2"/>
          </rPr>
          <t>Martha Cecilia Quintero Barreiro:</t>
        </r>
        <r>
          <rPr>
            <sz val="9"/>
            <color indexed="81"/>
            <rFont val="Tahoma"/>
            <family val="2"/>
          </rPr>
          <t xml:space="preserve">
Se modifica de acuerdo al Memorando No. 203 del 24/02/2017</t>
        </r>
      </text>
    </comment>
    <comment ref="M13" authorId="0">
      <text>
        <r>
          <rPr>
            <b/>
            <sz val="9"/>
            <color indexed="81"/>
            <rFont val="Tahoma"/>
            <family val="2"/>
          </rPr>
          <t>Martha Cecilia Quintero Barreiro:</t>
        </r>
        <r>
          <rPr>
            <sz val="9"/>
            <color indexed="81"/>
            <rFont val="Tahoma"/>
            <family val="2"/>
          </rPr>
          <t xml:space="preserve">
Se modifica mediante Memorando No. 203 del 24/02/2017</t>
        </r>
      </text>
    </comment>
    <comment ref="G14" authorId="0">
      <text>
        <r>
          <rPr>
            <b/>
            <sz val="9"/>
            <color indexed="81"/>
            <rFont val="Tahoma"/>
            <family val="2"/>
          </rPr>
          <t>Martha Cecilia Quintero Barreiro:</t>
        </r>
        <r>
          <rPr>
            <sz val="9"/>
            <color indexed="81"/>
            <rFont val="Tahoma"/>
            <family val="2"/>
          </rPr>
          <t xml:space="preserve">
Se modifica de acuerdo al Memorando No. 203 del 24/02/2017</t>
        </r>
      </text>
    </comment>
    <comment ref="G15"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J15"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M15"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J16"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M16"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G21" authorId="0">
      <text>
        <r>
          <rPr>
            <b/>
            <sz val="9"/>
            <color indexed="81"/>
            <rFont val="Tahoma"/>
            <family val="2"/>
          </rPr>
          <t>Martha Cecilia Quintero Barreiro:</t>
        </r>
        <r>
          <rPr>
            <sz val="9"/>
            <color indexed="81"/>
            <rFont val="Tahoma"/>
            <family val="2"/>
          </rPr>
          <t xml:space="preserve">
Se modifica de acuerdo al Memorando No. 203 del 24/02/2017</t>
        </r>
      </text>
    </comment>
    <comment ref="G22" authorId="0">
      <text>
        <r>
          <rPr>
            <b/>
            <sz val="9"/>
            <color indexed="81"/>
            <rFont val="Tahoma"/>
            <family val="2"/>
          </rPr>
          <t>Martha Cecilia Quintero Barreiro:</t>
        </r>
        <r>
          <rPr>
            <sz val="9"/>
            <color indexed="81"/>
            <rFont val="Tahoma"/>
            <family val="2"/>
          </rPr>
          <t xml:space="preserve">
Se modifica de acuerdo al Memorando No. 203 del 24/02/2017</t>
        </r>
      </text>
    </comment>
    <comment ref="G23" authorId="0">
      <text>
        <r>
          <rPr>
            <b/>
            <sz val="9"/>
            <color indexed="81"/>
            <rFont val="Tahoma"/>
            <family val="2"/>
          </rPr>
          <t>Martha Cecilia Quintero Barreiro:</t>
        </r>
        <r>
          <rPr>
            <sz val="9"/>
            <color indexed="81"/>
            <rFont val="Tahoma"/>
            <family val="2"/>
          </rPr>
          <t xml:space="preserve">
Se modifica de acuerdo al Memorando No. 203 del 24/02/2017</t>
        </r>
      </text>
    </comment>
    <comment ref="G25" authorId="0">
      <text>
        <r>
          <rPr>
            <b/>
            <sz val="9"/>
            <color indexed="81"/>
            <rFont val="Tahoma"/>
            <family val="2"/>
          </rPr>
          <t>Martha Cecilia Quintero Barreiro:</t>
        </r>
        <r>
          <rPr>
            <sz val="9"/>
            <color indexed="81"/>
            <rFont val="Tahoma"/>
            <family val="2"/>
          </rPr>
          <t xml:space="preserve">
Se modifica De acuerdo a Memorando No. 492 de 5 de abril de 2017
Modificación memorando 000908 del 26 de mayo de 2017</t>
        </r>
      </text>
    </comment>
    <comment ref="G29" authorId="0">
      <text>
        <r>
          <rPr>
            <b/>
            <sz val="9"/>
            <color indexed="81"/>
            <rFont val="Tahoma"/>
            <family val="2"/>
          </rPr>
          <t>Martha Cecilia Quintero Barreiro:</t>
        </r>
        <r>
          <rPr>
            <sz val="9"/>
            <color indexed="81"/>
            <rFont val="Tahoma"/>
            <family val="2"/>
          </rPr>
          <t xml:space="preserve">
Modificación memorando 000908 del 26 de mayo de 2017
</t>
        </r>
      </text>
    </comment>
    <comment ref="J29" authorId="0">
      <text>
        <r>
          <rPr>
            <b/>
            <sz val="9"/>
            <color indexed="81"/>
            <rFont val="Tahoma"/>
            <family val="2"/>
          </rPr>
          <t>Martha Cecilia Quintero Barreiro:</t>
        </r>
        <r>
          <rPr>
            <sz val="9"/>
            <color indexed="81"/>
            <rFont val="Tahoma"/>
            <family val="2"/>
          </rPr>
          <t xml:space="preserve">
Se modifica mediante memorando el 26 de mayo de 2017</t>
        </r>
      </text>
    </comment>
    <comment ref="N31"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J32" authorId="0">
      <text>
        <r>
          <rPr>
            <b/>
            <sz val="9"/>
            <color indexed="81"/>
            <rFont val="Tahoma"/>
            <family val="2"/>
          </rPr>
          <t>Martha Cecilia Quintero Barreiro:</t>
        </r>
        <r>
          <rPr>
            <sz val="9"/>
            <color indexed="81"/>
            <rFont val="Tahoma"/>
            <family val="2"/>
          </rPr>
          <t xml:space="preserve">
se modifica de acuerdo al Memorando No. 727 del 28/04/2017</t>
        </r>
      </text>
    </comment>
    <comment ref="N32"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J33" authorId="0">
      <text>
        <r>
          <rPr>
            <b/>
            <sz val="9"/>
            <color indexed="81"/>
            <rFont val="Tahoma"/>
            <family val="2"/>
          </rPr>
          <t>Martha Cecilia Quintero Barreiro:</t>
        </r>
        <r>
          <rPr>
            <sz val="9"/>
            <color indexed="81"/>
            <rFont val="Tahoma"/>
            <family val="2"/>
          </rPr>
          <t xml:space="preserve">
se modifica de acuerdo al Memorando No. 727 del 28/04/2017</t>
        </r>
      </text>
    </comment>
    <comment ref="N33"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J34" authorId="0">
      <text>
        <r>
          <rPr>
            <b/>
            <sz val="9"/>
            <color indexed="81"/>
            <rFont val="Tahoma"/>
            <family val="2"/>
          </rPr>
          <t>Martha Cecilia Quintero Barreiro:</t>
        </r>
        <r>
          <rPr>
            <sz val="9"/>
            <color indexed="81"/>
            <rFont val="Tahoma"/>
            <family val="2"/>
          </rPr>
          <t xml:space="preserve">
se modifica de acuerdo al Memorando No. 727 del 28/04/2017</t>
        </r>
      </text>
    </comment>
    <comment ref="N34"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J35" authorId="0">
      <text>
        <r>
          <rPr>
            <b/>
            <sz val="9"/>
            <color indexed="81"/>
            <rFont val="Tahoma"/>
            <family val="2"/>
          </rPr>
          <t>Martha Cecilia Quintero Barreiro:</t>
        </r>
        <r>
          <rPr>
            <sz val="9"/>
            <color indexed="81"/>
            <rFont val="Tahoma"/>
            <family val="2"/>
          </rPr>
          <t xml:space="preserve">
se modifica de acuerdo al Memorando No. 727 del 28/04/2017</t>
        </r>
      </text>
    </comment>
    <comment ref="N35"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M36"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I37"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M37"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I39"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N39"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I40"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N40"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I41"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N41"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I42"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N42"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I43"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N43"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I44"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N44"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G45" authorId="0">
      <text>
        <r>
          <rPr>
            <b/>
            <sz val="9"/>
            <color indexed="81"/>
            <rFont val="Tahoma"/>
            <family val="2"/>
          </rPr>
          <t>Martha Cecilia Quintero Barreiro:</t>
        </r>
        <r>
          <rPr>
            <sz val="9"/>
            <color indexed="81"/>
            <rFont val="Tahoma"/>
            <family val="2"/>
          </rPr>
          <t xml:space="preserve">
Modificación memorando 000908 del 26 de mayo de 2017</t>
        </r>
      </text>
    </comment>
    <comment ref="I45"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J45" authorId="0">
      <text>
        <r>
          <rPr>
            <b/>
            <sz val="9"/>
            <color indexed="81"/>
            <rFont val="Tahoma"/>
            <family val="2"/>
          </rPr>
          <t>Martha Cecilia Quintero Barreiro:</t>
        </r>
        <r>
          <rPr>
            <sz val="9"/>
            <color indexed="81"/>
            <rFont val="Tahoma"/>
            <family val="2"/>
          </rPr>
          <t xml:space="preserve">
Mediante memorando No. 686 del 25/04/2017
Modificación memorando del 26 de mayo de 2017
</t>
        </r>
      </text>
    </comment>
    <comment ref="K45" authorId="0">
      <text>
        <r>
          <rPr>
            <b/>
            <sz val="9"/>
            <color indexed="81"/>
            <rFont val="Tahoma"/>
            <family val="2"/>
          </rPr>
          <t>Martha Cecilia Quintero Barreiro:</t>
        </r>
        <r>
          <rPr>
            <sz val="9"/>
            <color indexed="81"/>
            <rFont val="Tahoma"/>
            <family val="2"/>
          </rPr>
          <t xml:space="preserve">
Modificación memorando del 26 de mayo de 2017</t>
        </r>
      </text>
    </comment>
    <comment ref="N45"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I46" authorId="0">
      <text>
        <r>
          <rPr>
            <b/>
            <sz val="9"/>
            <color indexed="81"/>
            <rFont val="Tahoma"/>
            <family val="2"/>
          </rPr>
          <t>Martha Cecilia Quintero Barreiro:</t>
        </r>
        <r>
          <rPr>
            <sz val="9"/>
            <color indexed="81"/>
            <rFont val="Tahoma"/>
            <family val="2"/>
          </rPr>
          <t xml:space="preserve">
se modifica el responsable de acuerdo al memorando No.492 del 5 de abril de 2017</t>
        </r>
      </text>
    </comment>
    <comment ref="N46" authorId="0">
      <text>
        <r>
          <rPr>
            <b/>
            <sz val="9"/>
            <color indexed="81"/>
            <rFont val="Tahoma"/>
            <family val="2"/>
          </rPr>
          <t>Martha Cecilia Quintero Barreiro:</t>
        </r>
        <r>
          <rPr>
            <sz val="9"/>
            <color indexed="81"/>
            <rFont val="Tahoma"/>
            <family val="2"/>
          </rPr>
          <t xml:space="preserve">
Se modifica De acuerdo a Memorando No. 492 de 5 de abril de 2017
se adicionan de acuerdo al Memorando No. 686 del 25/04/2017</t>
        </r>
      </text>
    </comment>
    <comment ref="G51" authorId="0">
      <text>
        <r>
          <rPr>
            <b/>
            <sz val="9"/>
            <color indexed="81"/>
            <rFont val="Tahoma"/>
            <family val="2"/>
          </rPr>
          <t>Martha Cecilia Quintero Barreiro:</t>
        </r>
        <r>
          <rPr>
            <sz val="9"/>
            <color indexed="81"/>
            <rFont val="Tahoma"/>
            <family val="2"/>
          </rPr>
          <t xml:space="preserve">
Se modifica de acuerdo al Memorando No. 203 del 24/02/2017</t>
        </r>
      </text>
    </comment>
    <comment ref="G53" authorId="0">
      <text>
        <r>
          <rPr>
            <b/>
            <sz val="9"/>
            <color indexed="81"/>
            <rFont val="Tahoma"/>
            <family val="2"/>
          </rPr>
          <t>Martha Cecilia Quintero Barreiro:</t>
        </r>
        <r>
          <rPr>
            <sz val="9"/>
            <color indexed="81"/>
            <rFont val="Tahoma"/>
            <family val="2"/>
          </rPr>
          <t xml:space="preserve">
se crea nuevo objeto de acuerdo al Memorando No. 330 de 8 de marzo de 2017</t>
        </r>
      </text>
    </comment>
    <comment ref="M53" authorId="0">
      <text>
        <r>
          <rPr>
            <b/>
            <sz val="9"/>
            <color indexed="81"/>
            <rFont val="Tahoma"/>
            <family val="2"/>
          </rPr>
          <t>Martha Cecilia Quintero Barreiro:</t>
        </r>
        <r>
          <rPr>
            <sz val="9"/>
            <color indexed="81"/>
            <rFont val="Tahoma"/>
            <family val="2"/>
          </rPr>
          <t xml:space="preserve">
se adicionan de acuerdo al Memorando No. 330 de 8 de marzo de 2017
Se modifica De acuerdo a Memorando No. 492 de 5 de abril de 2017</t>
        </r>
      </text>
    </comment>
    <comment ref="G58" authorId="0">
      <text>
        <r>
          <rPr>
            <b/>
            <sz val="9"/>
            <color indexed="81"/>
            <rFont val="Tahoma"/>
            <family val="2"/>
          </rPr>
          <t>Martha Cecilia Quintero Barreiro:</t>
        </r>
        <r>
          <rPr>
            <sz val="9"/>
            <color indexed="81"/>
            <rFont val="Tahoma"/>
            <family val="2"/>
          </rPr>
          <t xml:space="preserve">
se adicionan de acuerdo al Memorando No. 330 de 8 de marzo de 2017</t>
        </r>
      </text>
    </comment>
    <comment ref="M58" authorId="0">
      <text>
        <r>
          <rPr>
            <b/>
            <sz val="9"/>
            <color indexed="81"/>
            <rFont val="Tahoma"/>
            <family val="2"/>
          </rPr>
          <t>Martha Cecilia Quintero Barreiro:</t>
        </r>
        <r>
          <rPr>
            <sz val="9"/>
            <color indexed="81"/>
            <rFont val="Tahoma"/>
            <family val="2"/>
          </rPr>
          <t xml:space="preserve">
se adicionan de acuerdo al Memorando No. 330 de 8 de marzo de 2017</t>
        </r>
      </text>
    </comment>
    <comment ref="M59"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G64" authorId="0">
      <text>
        <r>
          <rPr>
            <b/>
            <sz val="9"/>
            <color indexed="81"/>
            <rFont val="Tahoma"/>
            <family val="2"/>
          </rPr>
          <t>Martha Cecilia Quintero Barreiro:</t>
        </r>
        <r>
          <rPr>
            <sz val="9"/>
            <color indexed="81"/>
            <rFont val="Tahoma"/>
            <family val="2"/>
          </rPr>
          <t xml:space="preserve">
Se modifica el objeto contractual de acuerdo al Memorando NO.203 del 22/02/2017</t>
        </r>
      </text>
    </comment>
    <comment ref="M66"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J76" authorId="0">
      <text>
        <r>
          <rPr>
            <b/>
            <sz val="9"/>
            <color indexed="81"/>
            <rFont val="Tahoma"/>
            <family val="2"/>
          </rPr>
          <t>Martha Cecilia Quintero Barreiro:</t>
        </r>
        <r>
          <rPr>
            <sz val="9"/>
            <color indexed="81"/>
            <rFont val="Tahoma"/>
            <family val="2"/>
          </rPr>
          <t xml:space="preserve">
Se modifica de acuerdo al MemorandoNo. 418 del 27/03/2017
Se cambia la fecha de acuerdo al Memorando No. 686 del 25/04/2017</t>
        </r>
      </text>
    </comment>
    <comment ref="M78" authorId="0">
      <text>
        <r>
          <rPr>
            <b/>
            <sz val="9"/>
            <color indexed="81"/>
            <rFont val="Tahoma"/>
            <family val="2"/>
          </rPr>
          <t>Martha Cecilia Quintero Barreiro:</t>
        </r>
        <r>
          <rPr>
            <sz val="9"/>
            <color indexed="81"/>
            <rFont val="Tahoma"/>
            <family val="2"/>
          </rPr>
          <t xml:space="preserve">
Se modifica De acuerdo a Memorando No. 492 de 5 de abril de 2017</t>
        </r>
      </text>
    </comment>
    <comment ref="G79" authorId="0">
      <text>
        <r>
          <rPr>
            <b/>
            <sz val="9"/>
            <color indexed="81"/>
            <rFont val="Tahoma"/>
            <family val="2"/>
          </rPr>
          <t>Martha Cecilia Quintero Barreiro:</t>
        </r>
        <r>
          <rPr>
            <sz val="9"/>
            <color indexed="81"/>
            <rFont val="Tahoma"/>
            <family val="2"/>
          </rPr>
          <t xml:space="preserve">
Mediante memorando No. 686 del 25/04/2017</t>
        </r>
      </text>
    </comment>
    <comment ref="M79" authorId="0">
      <text>
        <r>
          <rPr>
            <b/>
            <sz val="9"/>
            <color indexed="81"/>
            <rFont val="Tahoma"/>
            <family val="2"/>
          </rPr>
          <t>Martha Cecilia Quintero Barreiro:</t>
        </r>
        <r>
          <rPr>
            <sz val="9"/>
            <color indexed="81"/>
            <rFont val="Tahoma"/>
            <family val="2"/>
          </rPr>
          <t xml:space="preserve">
Mediante memorando No. 686 del 25/04/2017</t>
        </r>
      </text>
    </comment>
    <comment ref="G85" authorId="0">
      <text>
        <r>
          <rPr>
            <b/>
            <sz val="9"/>
            <color indexed="81"/>
            <rFont val="Tahoma"/>
            <family val="2"/>
          </rPr>
          <t>Martha Cecilia Quintero Barreiro:</t>
        </r>
        <r>
          <rPr>
            <sz val="9"/>
            <color indexed="81"/>
            <rFont val="Tahoma"/>
            <family val="2"/>
          </rPr>
          <t xml:space="preserve">
Se modifica de acuerdo al Memorando No. 686 del 25/04/2017
Memorando 000927 del 02 de junio de 2017</t>
        </r>
      </text>
    </comment>
    <comment ref="M85" authorId="0">
      <text>
        <r>
          <rPr>
            <b/>
            <sz val="9"/>
            <color indexed="81"/>
            <rFont val="Tahoma"/>
            <family val="2"/>
          </rPr>
          <t>Martha Cecilia Quintero Barreiro:</t>
        </r>
        <r>
          <rPr>
            <sz val="9"/>
            <color indexed="81"/>
            <rFont val="Tahoma"/>
            <family val="2"/>
          </rPr>
          <t xml:space="preserve">
Se adiciona de acuerdo al Memorando No. 686 del 25/04/2017</t>
        </r>
      </text>
    </comment>
    <comment ref="N85" authorId="0">
      <text>
        <r>
          <rPr>
            <b/>
            <sz val="9"/>
            <color indexed="81"/>
            <rFont val="Tahoma"/>
            <family val="2"/>
          </rPr>
          <t>Martha Cecilia Quintero Barreiro:</t>
        </r>
        <r>
          <rPr>
            <sz val="9"/>
            <color indexed="81"/>
            <rFont val="Tahoma"/>
            <family val="2"/>
          </rPr>
          <t xml:space="preserve">
Se adiciona de acuerdo al Memorando No. 686 del 25/04/2017</t>
        </r>
      </text>
    </comment>
    <comment ref="G86" authorId="0">
      <text>
        <r>
          <rPr>
            <b/>
            <sz val="9"/>
            <color indexed="81"/>
            <rFont val="Tahoma"/>
            <family val="2"/>
          </rPr>
          <t>Martha Cecilia Quintero Barreiro:</t>
        </r>
        <r>
          <rPr>
            <sz val="9"/>
            <color indexed="81"/>
            <rFont val="Tahoma"/>
            <family val="2"/>
          </rPr>
          <t xml:space="preserve">
Modificación memorando del 26 de mayo de 2017
Memorando 000927 del 02 de junio de 2017</t>
        </r>
      </text>
    </comment>
    <comment ref="J86" authorId="0">
      <text>
        <r>
          <rPr>
            <b/>
            <sz val="9"/>
            <color indexed="81"/>
            <rFont val="Tahoma"/>
            <family val="2"/>
          </rPr>
          <t>Martha Cecilia Quintero Barreiro:</t>
        </r>
        <r>
          <rPr>
            <sz val="9"/>
            <color indexed="81"/>
            <rFont val="Tahoma"/>
            <family val="2"/>
          </rPr>
          <t xml:space="preserve">
Modificación memorando del 26 de mayo de 2017</t>
        </r>
      </text>
    </comment>
    <comment ref="K86" authorId="0">
      <text>
        <r>
          <rPr>
            <b/>
            <sz val="9"/>
            <color indexed="81"/>
            <rFont val="Tahoma"/>
            <family val="2"/>
          </rPr>
          <t>Martha Cecilia Quintero Barreiro:</t>
        </r>
        <r>
          <rPr>
            <sz val="9"/>
            <color indexed="81"/>
            <rFont val="Tahoma"/>
            <family val="2"/>
          </rPr>
          <t xml:space="preserve">
Modificación memorando del 26 de mayo de 2017</t>
        </r>
      </text>
    </comment>
    <comment ref="G87" authorId="0">
      <text>
        <r>
          <rPr>
            <b/>
            <sz val="9"/>
            <color indexed="81"/>
            <rFont val="Tahoma"/>
            <family val="2"/>
          </rPr>
          <t>Martha Cecilia Quintero Barreiro:</t>
        </r>
        <r>
          <rPr>
            <sz val="9"/>
            <color indexed="81"/>
            <rFont val="Tahoma"/>
            <family val="2"/>
          </rPr>
          <t xml:space="preserve">
Modificación memorando del 26 de mayo de 2017</t>
        </r>
      </text>
    </comment>
    <comment ref="J87" authorId="0">
      <text>
        <r>
          <rPr>
            <b/>
            <sz val="9"/>
            <color indexed="81"/>
            <rFont val="Tahoma"/>
            <family val="2"/>
          </rPr>
          <t>Martha Cecilia Quintero Barreiro:</t>
        </r>
        <r>
          <rPr>
            <sz val="9"/>
            <color indexed="81"/>
            <rFont val="Tahoma"/>
            <family val="2"/>
          </rPr>
          <t xml:space="preserve">
Modificación memorando del 26 de mayo de 2017</t>
        </r>
      </text>
    </comment>
    <comment ref="K87" authorId="0">
      <text>
        <r>
          <rPr>
            <b/>
            <sz val="9"/>
            <color indexed="81"/>
            <rFont val="Tahoma"/>
            <family val="2"/>
          </rPr>
          <t>Martha Cecilia Quintero Barreiro:</t>
        </r>
        <r>
          <rPr>
            <sz val="9"/>
            <color indexed="81"/>
            <rFont val="Tahoma"/>
            <family val="2"/>
          </rPr>
          <t xml:space="preserve">
Modificación memorando del 26 de mayo de 2017</t>
        </r>
      </text>
    </comment>
    <comment ref="M90"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M91"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N91"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N92"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N93" authorId="0">
      <text>
        <r>
          <rPr>
            <b/>
            <sz val="9"/>
            <color indexed="81"/>
            <rFont val="Tahoma"/>
            <family val="2"/>
          </rPr>
          <t>Martha Cecilia Quintero Barreiro:</t>
        </r>
        <r>
          <rPr>
            <sz val="9"/>
            <color indexed="81"/>
            <rFont val="Tahoma"/>
            <family val="2"/>
          </rPr>
          <t xml:space="preserve">
Se modifica de acuerdo al MemorandoNo. 418 del 27/03/2017
SE MODIFICA DE ACUERDO AL MEMORANDO NO.686 DEL 25/04/2017</t>
        </r>
      </text>
    </comment>
    <comment ref="N94" authorId="0">
      <text>
        <r>
          <rPr>
            <b/>
            <sz val="9"/>
            <color indexed="81"/>
            <rFont val="Tahoma"/>
            <family val="2"/>
          </rPr>
          <t>Martha Cecilia Quintero Barreiro:</t>
        </r>
        <r>
          <rPr>
            <sz val="9"/>
            <color indexed="81"/>
            <rFont val="Tahoma"/>
            <family val="2"/>
          </rPr>
          <t xml:space="preserve">
Se modifica de acuerdo al MemorandoNo. 418 del 27/03/2017
Mediante memorando No. 686 del 25/04/2017</t>
        </r>
      </text>
    </comment>
    <comment ref="N95"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G97" authorId="0">
      <text>
        <r>
          <rPr>
            <b/>
            <sz val="9"/>
            <color indexed="81"/>
            <rFont val="Tahoma"/>
            <family val="2"/>
          </rPr>
          <t>Martha Cecilia Quintero Barreiro:</t>
        </r>
        <r>
          <rPr>
            <sz val="9"/>
            <color indexed="81"/>
            <rFont val="Tahoma"/>
            <family val="2"/>
          </rPr>
          <t xml:space="preserve">
se modifica de acuerdo al Memorando No. 727 del 28/04/2017</t>
        </r>
      </text>
    </comment>
    <comment ref="J97" authorId="0">
      <text>
        <r>
          <rPr>
            <b/>
            <sz val="9"/>
            <color indexed="81"/>
            <rFont val="Tahoma"/>
            <family val="2"/>
          </rPr>
          <t>Martha Cecilia Quintero Barreiro:</t>
        </r>
        <r>
          <rPr>
            <sz val="9"/>
            <color indexed="81"/>
            <rFont val="Tahoma"/>
            <family val="2"/>
          </rPr>
          <t xml:space="preserve">
Se modifica de acuerdo al MemorandoNo. 418 del 27/03/2017
se modifica de acuerdo al Memorando No. 727 del 28/04/2017</t>
        </r>
      </text>
    </comment>
    <comment ref="N99"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N100"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N101"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G108" authorId="0">
      <text>
        <r>
          <rPr>
            <b/>
            <sz val="9"/>
            <color indexed="81"/>
            <rFont val="Tahoma"/>
            <family val="2"/>
          </rPr>
          <t>Martha Cecilia Quintero Barreiro:</t>
        </r>
        <r>
          <rPr>
            <sz val="9"/>
            <color indexed="81"/>
            <rFont val="Tahoma"/>
            <family val="2"/>
          </rPr>
          <t xml:space="preserve">
</t>
        </r>
      </text>
    </comment>
    <comment ref="M108" authorId="0">
      <text>
        <r>
          <rPr>
            <b/>
            <sz val="9"/>
            <color indexed="81"/>
            <rFont val="Tahoma"/>
            <family val="2"/>
          </rPr>
          <t>Martha Cecilia Quintero Barreiro:</t>
        </r>
        <r>
          <rPr>
            <sz val="9"/>
            <color indexed="81"/>
            <rFont val="Tahoma"/>
            <family val="2"/>
          </rPr>
          <t xml:space="preserve">
se adicionan de acuerdo al Memorando No. 330 de 8 de marzo de 2017</t>
        </r>
      </text>
    </comment>
    <comment ref="G113" authorId="0">
      <text>
        <r>
          <rPr>
            <b/>
            <sz val="9"/>
            <color indexed="81"/>
            <rFont val="Tahoma"/>
            <family val="2"/>
          </rPr>
          <t>Martha Cecilia Quintero Barreiro:</t>
        </r>
        <r>
          <rPr>
            <sz val="9"/>
            <color indexed="81"/>
            <rFont val="Tahoma"/>
            <family val="2"/>
          </rPr>
          <t xml:space="preserve">
se adicionan de acuerdo al Memorando No. 330 de 8 de marzo de 2017</t>
        </r>
      </text>
    </comment>
    <comment ref="M113" authorId="0">
      <text>
        <r>
          <rPr>
            <b/>
            <sz val="9"/>
            <color indexed="81"/>
            <rFont val="Tahoma"/>
            <family val="2"/>
          </rPr>
          <t>Martha Cecilia Quintero Barreiro:</t>
        </r>
        <r>
          <rPr>
            <sz val="9"/>
            <color indexed="81"/>
            <rFont val="Tahoma"/>
            <family val="2"/>
          </rPr>
          <t xml:space="preserve">
se adicionan de acuerdo al Memorando No. 330 de 8 de marzo de 2017</t>
        </r>
      </text>
    </comment>
    <comment ref="J114"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M114" authorId="0">
      <text>
        <r>
          <rPr>
            <b/>
            <sz val="9"/>
            <color indexed="81"/>
            <rFont val="Tahoma"/>
            <family val="2"/>
          </rPr>
          <t>Martha Cecilia Quintero Barreiro:</t>
        </r>
        <r>
          <rPr>
            <sz val="9"/>
            <color indexed="81"/>
            <rFont val="Tahoma"/>
            <family val="2"/>
          </rPr>
          <t xml:space="preserve">
Se modifica de acuerdo al Memorando No. 418 del 27/03/2017
</t>
        </r>
      </text>
    </comment>
    <comment ref="G116" authorId="0">
      <text>
        <r>
          <rPr>
            <b/>
            <sz val="9"/>
            <color indexed="81"/>
            <rFont val="Tahoma"/>
            <family val="2"/>
          </rPr>
          <t>Martha Cecilia Quintero Barreiro:</t>
        </r>
        <r>
          <rPr>
            <sz val="9"/>
            <color indexed="81"/>
            <rFont val="Tahoma"/>
            <family val="2"/>
          </rPr>
          <t xml:space="preserve">
Se modifica el objeto contractual de acuerdo al Memorando NO.203 del 22/02/2017</t>
        </r>
      </text>
    </comment>
    <comment ref="M119"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J121"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M121" authorId="0">
      <text>
        <r>
          <rPr>
            <b/>
            <sz val="9"/>
            <color indexed="81"/>
            <rFont val="Tahoma"/>
            <family val="2"/>
          </rPr>
          <t>Martha Cecilia Quintero Barreiro:</t>
        </r>
        <r>
          <rPr>
            <sz val="9"/>
            <color indexed="81"/>
            <rFont val="Tahoma"/>
            <family val="2"/>
          </rPr>
          <t xml:space="preserve">
</t>
        </r>
      </text>
    </comment>
    <comment ref="N123"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G124" authorId="0">
      <text>
        <r>
          <rPr>
            <b/>
            <sz val="9"/>
            <color indexed="81"/>
            <rFont val="Tahoma"/>
            <family val="2"/>
          </rPr>
          <t>Martha Cecilia Quintero Barreiro:</t>
        </r>
        <r>
          <rPr>
            <sz val="9"/>
            <color indexed="81"/>
            <rFont val="Tahoma"/>
            <family val="2"/>
          </rPr>
          <t xml:space="preserve">
Se modifica mediante memorando del 26 de mayo de 2017</t>
        </r>
      </text>
    </comment>
    <comment ref="J124" authorId="0">
      <text>
        <r>
          <rPr>
            <b/>
            <sz val="9"/>
            <color indexed="81"/>
            <rFont val="Tahoma"/>
            <family val="2"/>
          </rPr>
          <t>Martha Cecilia Quintero Barreiro:</t>
        </r>
        <r>
          <rPr>
            <sz val="9"/>
            <color indexed="81"/>
            <rFont val="Tahoma"/>
            <family val="2"/>
          </rPr>
          <t xml:space="preserve">
Modificación memorando del 26 de mayo de 2017</t>
        </r>
      </text>
    </comment>
    <comment ref="K124" authorId="0">
      <text>
        <r>
          <rPr>
            <b/>
            <sz val="9"/>
            <color indexed="81"/>
            <rFont val="Tahoma"/>
            <family val="2"/>
          </rPr>
          <t>Martha Cecilia Quintero Barreiro:</t>
        </r>
        <r>
          <rPr>
            <sz val="9"/>
            <color indexed="81"/>
            <rFont val="Tahoma"/>
            <family val="2"/>
          </rPr>
          <t xml:space="preserve">
Modificación memorando del 26 de mayo de 2017</t>
        </r>
      </text>
    </comment>
    <comment ref="L124" authorId="0">
      <text>
        <r>
          <rPr>
            <b/>
            <sz val="9"/>
            <color indexed="81"/>
            <rFont val="Tahoma"/>
            <family val="2"/>
          </rPr>
          <t>Martha Cecilia Quintero Barreiro:</t>
        </r>
        <r>
          <rPr>
            <sz val="9"/>
            <color indexed="81"/>
            <rFont val="Tahoma"/>
            <family val="2"/>
          </rPr>
          <t xml:space="preserve">
Modificación memorando del 26 de mayo de 2017</t>
        </r>
      </text>
    </comment>
    <comment ref="N124" authorId="0">
      <text>
        <r>
          <rPr>
            <b/>
            <sz val="9"/>
            <color indexed="81"/>
            <rFont val="Tahoma"/>
            <family val="2"/>
          </rPr>
          <t>Martha Cecilia Quintero Barreiro:</t>
        </r>
        <r>
          <rPr>
            <sz val="9"/>
            <color indexed="81"/>
            <rFont val="Tahoma"/>
            <family val="2"/>
          </rPr>
          <t xml:space="preserve">
Se modifica de acuerdo al MemorandoNo. 418 del 27/03/2017
se adicionan de acuerdo al Memorando No. 686 del 25/04/2017</t>
        </r>
      </text>
    </comment>
    <comment ref="J125" authorId="0">
      <text>
        <r>
          <rPr>
            <b/>
            <sz val="9"/>
            <color indexed="81"/>
            <rFont val="Tahoma"/>
            <family val="2"/>
          </rPr>
          <t>Martha Cecilia Quintero Barreiro:</t>
        </r>
        <r>
          <rPr>
            <sz val="9"/>
            <color indexed="81"/>
            <rFont val="Tahoma"/>
            <family val="2"/>
          </rPr>
          <t xml:space="preserve">
se modifica de acuerdo al Memorando No. 727 del 28/04/2017</t>
        </r>
      </text>
    </comment>
    <comment ref="N125" authorId="0">
      <text>
        <r>
          <rPr>
            <b/>
            <sz val="9"/>
            <color indexed="81"/>
            <rFont val="Tahoma"/>
            <family val="2"/>
          </rPr>
          <t>Martha Cecilia Quintero Barreiro:</t>
        </r>
        <r>
          <rPr>
            <sz val="9"/>
            <color indexed="81"/>
            <rFont val="Tahoma"/>
            <family val="2"/>
          </rPr>
          <t xml:space="preserve">
Se modifica de acuerdo al MemorandoNo. 418 del 27/03/2017CAJA  se modifica de acuerdo al Memorando 819 del 11/05/2017</t>
        </r>
      </text>
    </comment>
    <comment ref="K126" authorId="0">
      <text>
        <r>
          <rPr>
            <b/>
            <sz val="9"/>
            <color indexed="81"/>
            <rFont val="Tahoma"/>
            <family val="2"/>
          </rPr>
          <t>Martha Cecilia Quintero Barreiro:</t>
        </r>
        <r>
          <rPr>
            <sz val="9"/>
            <color indexed="81"/>
            <rFont val="Tahoma"/>
            <family val="2"/>
          </rPr>
          <t xml:space="preserve">
Modificación memorando del 26 de mayo de 2017</t>
        </r>
      </text>
    </comment>
    <comment ref="N126"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N127" authorId="0">
      <text>
        <r>
          <rPr>
            <b/>
            <sz val="9"/>
            <color indexed="81"/>
            <rFont val="Tahoma"/>
            <family val="2"/>
          </rPr>
          <t>Martha Cecilia Quintero Barreiro:</t>
        </r>
        <r>
          <rPr>
            <sz val="9"/>
            <color indexed="81"/>
            <rFont val="Tahoma"/>
            <family val="2"/>
          </rPr>
          <t xml:space="preserve">
Se modifica de acuerdo al MemorandoNo. 418 del 27/03/2017
Mediante memorando No. 686 del 25/04/2017
se modifica de acuerdo al Memorando 819 del 11/05/2017</t>
        </r>
      </text>
    </comment>
    <comment ref="N128" authorId="0">
      <text>
        <r>
          <rPr>
            <b/>
            <sz val="9"/>
            <color indexed="81"/>
            <rFont val="Tahoma"/>
            <family val="2"/>
          </rPr>
          <t>Martha Cecilia Quintero Barreiro:</t>
        </r>
        <r>
          <rPr>
            <sz val="9"/>
            <color indexed="81"/>
            <rFont val="Tahoma"/>
            <family val="2"/>
          </rPr>
          <t xml:space="preserve">
Se modifica de acuerdo al MemorandoNo. 418 del 27/03/2017</t>
        </r>
      </text>
    </comment>
    <comment ref="G140" authorId="0">
      <text>
        <r>
          <rPr>
            <b/>
            <sz val="9"/>
            <color indexed="81"/>
            <rFont val="Tahoma"/>
            <family val="2"/>
          </rPr>
          <t>Martha Cecilia Quintero Barreiro:</t>
        </r>
        <r>
          <rPr>
            <sz val="9"/>
            <color indexed="81"/>
            <rFont val="Tahoma"/>
            <family val="2"/>
          </rPr>
          <t xml:space="preserve">
Se modifica el objeto contractua de acuerdo al Memorando No. 203 del 24/02/2017</t>
        </r>
      </text>
    </comment>
    <comment ref="M140" authorId="0">
      <text>
        <r>
          <rPr>
            <b/>
            <sz val="9"/>
            <color indexed="81"/>
            <rFont val="Tahoma"/>
            <family val="2"/>
          </rPr>
          <t>Martha Cecilia Quintero Barreiro:</t>
        </r>
        <r>
          <rPr>
            <sz val="9"/>
            <color indexed="81"/>
            <rFont val="Tahoma"/>
            <family val="2"/>
          </rPr>
          <t xml:space="preserve">
se reducen de acuerdo al Memorando No. 000203 del 24/02/2017</t>
        </r>
      </text>
    </comment>
    <comment ref="G141" authorId="0">
      <text>
        <r>
          <rPr>
            <b/>
            <sz val="9"/>
            <color indexed="81"/>
            <rFont val="Tahoma"/>
            <family val="2"/>
          </rPr>
          <t>Martha Cecilia Quintero Barreiro:</t>
        </r>
        <r>
          <rPr>
            <sz val="9"/>
            <color indexed="81"/>
            <rFont val="Tahoma"/>
            <family val="2"/>
          </rPr>
          <t xml:space="preserve">
Se modifica el objeto contractua de acuerdo al Memorando No. 203 del 24/02/2017</t>
        </r>
      </text>
    </comment>
    <comment ref="M141" authorId="0">
      <text>
        <r>
          <rPr>
            <b/>
            <sz val="9"/>
            <color indexed="81"/>
            <rFont val="Tahoma"/>
            <family val="2"/>
          </rPr>
          <t>Martha Cecilia Quintero Barreiro:</t>
        </r>
        <r>
          <rPr>
            <sz val="9"/>
            <color indexed="81"/>
            <rFont val="Tahoma"/>
            <family val="2"/>
          </rPr>
          <t xml:space="preserve">
se reducen de acuerdo al Memorando No. 000203 del 24/02/2017</t>
        </r>
      </text>
    </comment>
    <comment ref="G142" authorId="0">
      <text>
        <r>
          <rPr>
            <b/>
            <sz val="9"/>
            <color indexed="81"/>
            <rFont val="Tahoma"/>
            <family val="2"/>
          </rPr>
          <t>Martha Cecilia Quintero Barreiro:</t>
        </r>
        <r>
          <rPr>
            <sz val="9"/>
            <color indexed="81"/>
            <rFont val="Tahoma"/>
            <family val="2"/>
          </rPr>
          <t xml:space="preserve">
se modifica de acuerdo al Memorando No. 330 del 8 de marzo de 2017</t>
        </r>
      </text>
    </comment>
    <comment ref="G145" authorId="0">
      <text>
        <r>
          <rPr>
            <b/>
            <sz val="9"/>
            <color indexed="81"/>
            <rFont val="Tahoma"/>
            <family val="2"/>
          </rPr>
          <t>Martha Cecilia Quintero Barreiro:</t>
        </r>
        <r>
          <rPr>
            <sz val="9"/>
            <color indexed="81"/>
            <rFont val="Tahoma"/>
            <family val="2"/>
          </rPr>
          <t xml:space="preserve">
crea nuevo objeto contractual de acuerdo al memorando no. 356 del 10/03/2017</t>
        </r>
      </text>
    </comment>
    <comment ref="G146" authorId="0">
      <text>
        <r>
          <rPr>
            <b/>
            <sz val="9"/>
            <color indexed="81"/>
            <rFont val="Tahoma"/>
            <family val="2"/>
          </rPr>
          <t>Martha Cecilia Quintero Barreiro:</t>
        </r>
        <r>
          <rPr>
            <sz val="9"/>
            <color indexed="81"/>
            <rFont val="Tahoma"/>
            <family val="2"/>
          </rPr>
          <t xml:space="preserve">
Modificación del 26 de mayo de 2017</t>
        </r>
      </text>
    </comment>
    <comment ref="M146" authorId="0">
      <text>
        <r>
          <rPr>
            <b/>
            <sz val="9"/>
            <color indexed="81"/>
            <rFont val="Tahoma"/>
            <family val="2"/>
          </rPr>
          <t>Martha Cecilia Quintero Barreiro:</t>
        </r>
        <r>
          <rPr>
            <sz val="9"/>
            <color indexed="81"/>
            <rFont val="Tahoma"/>
            <family val="2"/>
          </rPr>
          <t xml:space="preserve">
se adicionan 7,912,624 de acuerdo al memorando No. 1016 del 22/06/2017</t>
        </r>
      </text>
    </comment>
    <comment ref="G151" authorId="0">
      <text>
        <r>
          <rPr>
            <b/>
            <sz val="9"/>
            <color indexed="81"/>
            <rFont val="Tahoma"/>
            <family val="2"/>
          </rPr>
          <t>Martha Cecilia Quintero Barreiro:</t>
        </r>
        <r>
          <rPr>
            <sz val="9"/>
            <color indexed="81"/>
            <rFont val="Tahoma"/>
            <family val="2"/>
          </rPr>
          <t xml:space="preserve">
SE CAMBIA EL OBJETODE ACUERDO AL MEMORANDO No. 330 DE 8 DE MARZO DE 2017</t>
        </r>
      </text>
    </comment>
    <comment ref="M151" authorId="0">
      <text>
        <r>
          <rPr>
            <b/>
            <sz val="9"/>
            <color indexed="81"/>
            <rFont val="Tahoma"/>
            <family val="2"/>
          </rPr>
          <t>Martha Cecilia Quintero Barreiro:</t>
        </r>
        <r>
          <rPr>
            <sz val="9"/>
            <color indexed="81"/>
            <rFont val="Tahoma"/>
            <family val="2"/>
          </rPr>
          <t xml:space="preserve">
SE REDUCE DE ACUERDO A MEMORANDO No. 203 DEL 24/02/2017</t>
        </r>
      </text>
    </comment>
    <comment ref="M153" authorId="0">
      <text>
        <r>
          <rPr>
            <b/>
            <sz val="9"/>
            <color indexed="81"/>
            <rFont val="Tahoma"/>
            <family val="2"/>
          </rPr>
          <t>Martha Cecilia Quintero Barreiro:</t>
        </r>
        <r>
          <rPr>
            <sz val="9"/>
            <color indexed="81"/>
            <rFont val="Tahoma"/>
            <family val="2"/>
          </rPr>
          <t xml:space="preserve">
 SE REDUCE DE ACUERDO A MEMORANDO No. 203 DEL 24/02/2017
se modifica de acuerdo al Memorando No. 725 del 28/04/2017</t>
        </r>
      </text>
    </comment>
    <comment ref="G154" authorId="0">
      <text>
        <r>
          <rPr>
            <b/>
            <sz val="9"/>
            <color indexed="81"/>
            <rFont val="Tahoma"/>
            <family val="2"/>
          </rPr>
          <t>Martha Cecilia Quintero Barreiro:</t>
        </r>
        <r>
          <rPr>
            <sz val="9"/>
            <color indexed="81"/>
            <rFont val="Tahoma"/>
            <family val="2"/>
          </rPr>
          <t xml:space="preserve">
SE CREA OBJETO DE ACUERDO A MEMORANDO No. 203 DEL 24/02/2017</t>
        </r>
      </text>
    </comment>
    <comment ref="M154" authorId="0">
      <text>
        <r>
          <rPr>
            <b/>
            <sz val="9"/>
            <color indexed="81"/>
            <rFont val="Tahoma"/>
            <family val="2"/>
          </rPr>
          <t>Martha Cecilia Quintero Barreiro:</t>
        </r>
        <r>
          <rPr>
            <sz val="9"/>
            <color indexed="81"/>
            <rFont val="Tahoma"/>
            <family val="2"/>
          </rPr>
          <t xml:space="preserve">
se modifica de acuerdo al Memorando No. 725 del 28/04/2017</t>
        </r>
      </text>
    </comment>
    <comment ref="G155" authorId="0">
      <text>
        <r>
          <rPr>
            <b/>
            <sz val="9"/>
            <color indexed="81"/>
            <rFont val="Tahoma"/>
            <family val="2"/>
          </rPr>
          <t>Martha Cecilia Quintero Barreiro:</t>
        </r>
        <r>
          <rPr>
            <sz val="9"/>
            <color indexed="81"/>
            <rFont val="Tahoma"/>
            <family val="2"/>
          </rPr>
          <t xml:space="preserve">
se crean nuevos objetos contractuales de acuerdo al memorando No.725 del 28/04/2017</t>
        </r>
      </text>
    </comment>
    <comment ref="G156" authorId="0">
      <text>
        <r>
          <rPr>
            <b/>
            <sz val="9"/>
            <color indexed="81"/>
            <rFont val="Tahoma"/>
            <family val="2"/>
          </rPr>
          <t>Martha Cecilia Quintero Barreiro:</t>
        </r>
        <r>
          <rPr>
            <sz val="9"/>
            <color indexed="81"/>
            <rFont val="Tahoma"/>
            <family val="2"/>
          </rPr>
          <t xml:space="preserve">
se crean nuevos objetos contractuales de acuerdo al memorando No.725 del 28/04/2017</t>
        </r>
      </text>
    </comment>
    <comment ref="G157" authorId="0">
      <text>
        <r>
          <rPr>
            <b/>
            <sz val="9"/>
            <color indexed="81"/>
            <rFont val="Tahoma"/>
            <family val="2"/>
          </rPr>
          <t>Martha Cecilia Quintero Barreiro:</t>
        </r>
        <r>
          <rPr>
            <sz val="9"/>
            <color indexed="81"/>
            <rFont val="Tahoma"/>
            <family val="2"/>
          </rPr>
          <t xml:space="preserve">
se crean nuevos objetos contractuales de acuerdo al memorando No.725 del 28/04/2017
Modificación memorando 000908 del 26 de mayo de 2017</t>
        </r>
      </text>
    </comment>
    <comment ref="G158" authorId="0">
      <text>
        <r>
          <rPr>
            <b/>
            <sz val="9"/>
            <color indexed="81"/>
            <rFont val="Tahoma"/>
            <family val="2"/>
          </rPr>
          <t>Martha Cecilia Quintero Barreiro:</t>
        </r>
        <r>
          <rPr>
            <sz val="9"/>
            <color indexed="81"/>
            <rFont val="Tahoma"/>
            <family val="2"/>
          </rPr>
          <t xml:space="preserve">
se crean nuevos objetos contractuales de acuerdo al memorando No.725 del 28/04/2017
Modificación memorando 000908 del 26 de mayo de 2017</t>
        </r>
      </text>
    </comment>
    <comment ref="J158" authorId="0">
      <text>
        <r>
          <rPr>
            <b/>
            <sz val="9"/>
            <color indexed="81"/>
            <rFont val="Tahoma"/>
            <family val="2"/>
          </rPr>
          <t>Martha Cecilia Quintero Barreiro:</t>
        </r>
        <r>
          <rPr>
            <sz val="9"/>
            <color indexed="81"/>
            <rFont val="Tahoma"/>
            <family val="2"/>
          </rPr>
          <t xml:space="preserve">
Modificación memorando 000908 del 26 de mayo de 2017</t>
        </r>
      </text>
    </comment>
    <comment ref="M160" authorId="0">
      <text>
        <r>
          <rPr>
            <b/>
            <sz val="9"/>
            <color indexed="81"/>
            <rFont val="Tahoma"/>
            <family val="2"/>
          </rPr>
          <t>Martha Cecilia Quintero Barreiro:</t>
        </r>
        <r>
          <rPr>
            <sz val="9"/>
            <color indexed="81"/>
            <rFont val="Tahoma"/>
            <family val="2"/>
          </rPr>
          <t xml:space="preserve">
se restan 7,912,624 de acuerdo al memornado No. 1016 del22 de junio de 2017</t>
        </r>
      </text>
    </comment>
  </commentList>
</comments>
</file>

<file path=xl/sharedStrings.xml><?xml version="1.0" encoding="utf-8"?>
<sst xmlns="http://schemas.openxmlformats.org/spreadsheetml/2006/main" count="4326" uniqueCount="746">
  <si>
    <t>ACTIVIDAD</t>
  </si>
  <si>
    <t>TRANSFERENCIAS</t>
  </si>
  <si>
    <t>RECURSOS ADMINISTRADOS</t>
  </si>
  <si>
    <t>TOTAL</t>
  </si>
  <si>
    <t>Directora General  IDEP</t>
  </si>
  <si>
    <t>Código: FT-DIP- 02-02</t>
  </si>
  <si>
    <t>OBJETO DEL CONTRATO</t>
  </si>
  <si>
    <t>Códigos</t>
  </si>
  <si>
    <t>SUPERVISOR</t>
  </si>
  <si>
    <t>PROGRAMACIÓN CONTRATO</t>
  </si>
  <si>
    <t>INICIO</t>
  </si>
  <si>
    <t>DURACIÓN</t>
  </si>
  <si>
    <t>MODALIDAD</t>
  </si>
  <si>
    <t xml:space="preserve">TOTAL META </t>
  </si>
  <si>
    <t>Proyecto  No. 1039</t>
  </si>
  <si>
    <t>"Bogotá Mejor para Todos". 2016-2020</t>
  </si>
  <si>
    <t>TOTAL COMPONNENTE No. 1 : Seguimiento a la política Educativa Distrital en los contextos escolares, ajustado e implementado</t>
  </si>
  <si>
    <t>TOTAL META</t>
  </si>
  <si>
    <t>TOTAL PROYECTO DE INVERSIÓN No. 1079 Investigación e innovación para el fortalecimiento de las comunidades de saber y práctica pedagógica.</t>
  </si>
  <si>
    <t>CLAUDIA LUCIA SAENZ BLANCO</t>
  </si>
  <si>
    <t>Sostenibilidad del Sistema Integrado de Gestión</t>
  </si>
  <si>
    <t>TOTAL PROYECTO No. 1039</t>
  </si>
  <si>
    <t>TOTAL PLAN DE ADQUISICIONES 2016 BOGOTÁ MEJOR PARA TODOS</t>
  </si>
  <si>
    <t>Descripción</t>
  </si>
  <si>
    <t>NA</t>
  </si>
  <si>
    <t>Actividad</t>
  </si>
  <si>
    <t>Profesional Especializado 222-03 
Área de Talento Humano</t>
  </si>
  <si>
    <t>Gastos de Computador</t>
  </si>
  <si>
    <t>Profesional Universitario 219-02 Servicios Generales</t>
  </si>
  <si>
    <t>Subdirector  Administrativo, Financiero y de Control Disciplinario</t>
  </si>
  <si>
    <t>Jefe Oficina Asesora Jurídica</t>
  </si>
  <si>
    <t>Realizar un (1) estudio de la  Estrategia de cualificación, investigación e innovación docente: comunidades de saber y de práctica pedagógica</t>
  </si>
  <si>
    <t>OLGA LUCÍA SÁNCHEZ MENDIETA</t>
  </si>
  <si>
    <t xml:space="preserve">Jefe Oficina Asesora de Planeación </t>
  </si>
  <si>
    <t>ADRIANA DIAZ IZQUIERDO</t>
  </si>
  <si>
    <t>TOTAL COMPONENTE 2 : Estratégia de Cualificación, Investigación e Innovación Docente: Comunidades de Saber y Práctica Pedagógica</t>
  </si>
  <si>
    <t>Realizar (13) Estudios en Escuela currículo y pedagogía, Educación y políticas públicas y Cualificación docente</t>
  </si>
  <si>
    <t>Avanzar en un (1 ) diseño de la Estrategia de Cualificación, investigación e Innovación docente: Comunidades de saber y de práctica pedagógica- Fase I</t>
  </si>
  <si>
    <t>Directora General del IDEP</t>
  </si>
  <si>
    <t>CARLOS GERMAN PLAZAS BONILLA</t>
  </si>
  <si>
    <t>Diseño del Sistema de seguimiento a la política educativa distrital en los contextos escolares - Fase 2.</t>
  </si>
  <si>
    <t>Realizar tres (3) Estudios en Escuela Curriculo y Pedagogía,  Educación y políticas públicas y Cualificación docente del componente de cualificación, investigación e innovación docente: Comunidades de saber y de práctica pedagógica.</t>
  </si>
  <si>
    <t>Avanzar en 0,25 de un Diseño de la Estrategia de Cualilficación, investigación e Innovación docente: Comunidades de saber y de práctica pedagógica- Fase I</t>
  </si>
  <si>
    <t>Diseño de la Estrategia de cualificación, investigación e innovación docente: comunidades de saber y de práctica pedagógica - Fase 2</t>
  </si>
  <si>
    <t xml:space="preserve">Desarrollar una  (1) estrategia de comunicación, socialización y divulgación de la cualificación, investigación e innovación docente: Comunidades de saber y de práctica </t>
  </si>
  <si>
    <t>Prestación de servicios profesionales para apoyar la socialización académica e institucional y el seguimiento de la misma.</t>
  </si>
  <si>
    <t>Prestación de servicios profesionales como abogado para apoyar jurÍdicamente en los diferentes procesos de la gestión jurídica y contractual.</t>
  </si>
  <si>
    <t>Prestación de servicios profesionales para desarrollar acciones de  sostenibilidad, evaluación y seguimiento  del Sistema de Control Interno,  con el fin de promover  la eficacia y eficiencia de los  procesos del IDEP.</t>
  </si>
  <si>
    <t>Prestar servicios profesionales para realizar la implementación de los procedimientos asociados a la Gestión de Talento Humano de la entidad.</t>
  </si>
  <si>
    <t>Prestacion de servicios profesionales para apoyar y gestionar las actividades relacionadas con el subsistema de Gestión Ambiental, y Seguridad y Salud en el Trabajo</t>
  </si>
  <si>
    <t>Prestación de servicios de apoyo a la gestión para fortalecer el Subsistema de Responsabilidad Social a través de acciones que propicien las condiciones institucionales, culturales y una gestión pública transparente en el IDEP.</t>
  </si>
  <si>
    <t>Febrero</t>
  </si>
  <si>
    <t>Minima Cuantia</t>
  </si>
  <si>
    <t>Jefe Oficina  Asesora de planeación</t>
  </si>
  <si>
    <t xml:space="preserve">Prestación de servicios para la renovación de la  licencia "Oracle Database Standard Edición - Processor Perpetual" con nivel de servicios "Software Update License &amp; Support" </t>
  </si>
  <si>
    <t>Prestación de servicio para realizar el mantenimiento preventivo y correctivo de la unidad de Aire Acondicionado del cuarto de Servidores del IDEP</t>
  </si>
  <si>
    <t>Mayo</t>
  </si>
  <si>
    <t xml:space="preserve">14111507  44121613 
44121701 44121704 
44121706 44121708
 44121804 44122119
 31201517 14111530
 42312009 44121630
 44121619 44111515 
44122027 14111514 
44121503 60101312 </t>
  </si>
  <si>
    <t>Agosto</t>
  </si>
  <si>
    <t>CAJA MENOR</t>
  </si>
  <si>
    <t>Técnico de Contabilidad</t>
  </si>
  <si>
    <t>Directa</t>
  </si>
  <si>
    <t>Administración oficinas</t>
  </si>
  <si>
    <t>Abril</t>
  </si>
  <si>
    <t>CELULARES ( 3)</t>
  </si>
  <si>
    <t xml:space="preserve">CAJA MENOR </t>
  </si>
  <si>
    <t>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</si>
  <si>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ISBN 2017</t>
  </si>
  <si>
    <t>Prestación de los servicios de aseo y cafetería, con suministro de insumos, en las instalaciones del Instituto para la Investigación Educativa y el Desarrollo Pedagógico - IDEP.</t>
  </si>
  <si>
    <t>76111501
 95121503</t>
  </si>
  <si>
    <t>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</si>
  <si>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ENERGIA</t>
  </si>
  <si>
    <t>Enero</t>
  </si>
  <si>
    <t>ACUEDUCTO</t>
  </si>
  <si>
    <t>ASEO</t>
  </si>
  <si>
    <t>TELEFONOS</t>
  </si>
  <si>
    <t>Prestación de servicios profesionales  para  realizar  la capacitación a los servidores y servidoras del  IDEP</t>
  </si>
  <si>
    <t>Octubre</t>
  </si>
  <si>
    <t>Incentivos no pecuniarios</t>
  </si>
  <si>
    <t>Cancelación de impuestos, tasas, contribuciones, derechos y multas</t>
  </si>
  <si>
    <t>Profesional 222-07</t>
  </si>
  <si>
    <t>Profesional 222-06</t>
  </si>
  <si>
    <t>Prestación de servicios para realizar la edición, el diseño y la diagramación de la Revista Educación y Ciudad.</t>
  </si>
  <si>
    <t>Profesional 222-05</t>
  </si>
  <si>
    <t xml:space="preserve">Prestación de servicios para realizar la edición, el diseño y la diagramación de libros de la serie editorial del  IDEP. </t>
  </si>
  <si>
    <t xml:space="preserve">Prestación de servicios profesionales para realizar el diseño y diagramación de piezas gráficas (impresas, audioviduales y digitales) del IDEP. </t>
  </si>
  <si>
    <t>Asesor 105-03</t>
  </si>
  <si>
    <t>Marzo</t>
  </si>
  <si>
    <t>Prestación de servicios profesionales para implementar una estrategia de formación docente que haga uso del Centro Virtual de Memoria en Educación y Pedagogía del IDEP.</t>
  </si>
  <si>
    <t xml:space="preserve">Prestación de servicios profesionales para orientar el acompañamiento  a iniciativas de proyectos pedagógicos: Nivel I </t>
  </si>
  <si>
    <t>Prestación de servicios profesionales para orientar el acompañamiento  a experiencias pedagógicas en desarrollo: Nivel II</t>
  </si>
  <si>
    <t>Prestación de servicios profesionales para orientar el acompañamiento  a la sistematización de experiencias pedagógicas significativas: Nivel III</t>
  </si>
  <si>
    <t>Prestación de servicios profesionales para realizar el apoyo administrativo del componente cualificación, investigación e innovación docente: comunidades de saber y práctica pedagógica</t>
  </si>
  <si>
    <t>Profesional Universitario 219-01</t>
  </si>
  <si>
    <t>Total Actividad</t>
  </si>
  <si>
    <t>Subdirector Administrativo</t>
  </si>
  <si>
    <t xml:space="preserve"> Asesor Oficina Juridica</t>
  </si>
  <si>
    <t>Mínima Cuantía</t>
  </si>
  <si>
    <t>minima cuantia</t>
  </si>
  <si>
    <t>Noviembre</t>
  </si>
  <si>
    <t>Realizar 3 Estudios  Escuela currículo y pedagogía,  Educación y Políticas Públicas y  en Cualificación docente.</t>
  </si>
  <si>
    <t>Prestación de servicios profesionales como abogado, para realizar la representacion judicial y extrajudicial de la entidad, y el apoyo jurÍdico en los diferentes procesos de la gestión jurídica y contractual.</t>
  </si>
  <si>
    <t>Adquisición de bonos de bienestar para los funcionarios del IDEP para ser utilizados en víveres y/o alimentos</t>
  </si>
  <si>
    <t>Adquisición de bonos de navidad para los hijos de los funcionarios del IDEP en edades comprendidas entre los cero (0) a trece (13) años para ser utilizados en juguetería y/o ropa infantil</t>
  </si>
  <si>
    <t>Prestación de servicios para realizar los exámenes médico ocupacionales para los servidores del IDEP.</t>
  </si>
  <si>
    <t>Selección Abreviada -Subasta inversa</t>
  </si>
  <si>
    <t>Selección Abreviada Menor Cuantía</t>
  </si>
  <si>
    <t>Sostenibilidad del SIG en el ámbito de los Subsistemas de la Gestión Ambiental , Seguridad y salud en el trabajo, y la Responsabilidad Social</t>
  </si>
  <si>
    <t>Proyectos Editoriales. Componente 1</t>
  </si>
  <si>
    <t>Socialización y 
Divulgación:Componente 1</t>
  </si>
  <si>
    <t>Prensa: Componente 1</t>
  </si>
  <si>
    <t>Estudio Cualificación Docente : Transmedia Educativa</t>
  </si>
  <si>
    <t>Proyectos Editoriales Componente 2</t>
  </si>
  <si>
    <t>Socialización y 
Divulgación.Componente 2</t>
  </si>
  <si>
    <t>Prensa Componente 2</t>
  </si>
  <si>
    <t>Prestación de servicios profesionales para  realizar la  articulación de acciones y consolidación de resultados, en la primera aplicación del  Sistema de seguimiento a la política educativa distrital en los contextos escolares, Fase 2</t>
  </si>
  <si>
    <t>Prestación de servicios profesionales para brindar apoyo administrativo en los procesos y procedimientos desarrollados en el Estudio Sistema de seguimiento a la política educativa distrital en los contextos escolares - Fase 2.</t>
  </si>
  <si>
    <t>Prestación de servicios profesionales  para realizar la revisión, ajuste y aplicación de la metodología de Evaluación  de impacto a proyectos de investigación del IDEP, seleccionados en la vigencia 2017.</t>
  </si>
  <si>
    <t>Junio</t>
  </si>
  <si>
    <t>Prestación de servicios profesionales para realizar la conceptualización, caracterización y diseño metodológico del componente Cualificación, investigación e innovación docente: comunidades de saber y de práctica pedagógica</t>
  </si>
  <si>
    <t>Prestación de servicios para apoyar en la organización del  archivo de la entidad como gestión dentro del subsistema de gestión documental</t>
  </si>
  <si>
    <t>Subdirector Académico</t>
  </si>
  <si>
    <t>Asesor 105-02</t>
  </si>
  <si>
    <t>Prestación del servicio de mensajería especializada para el Instituto para la Investigación Educativa y Desarrollo Pedagógico IDEP</t>
  </si>
  <si>
    <t xml:space="preserve">Prestación de servicios de mantenimiento preventivo y correctivo del parque automotor del IDEP con suministro de respuestos  </t>
  </si>
  <si>
    <t>Dotación</t>
  </si>
  <si>
    <t xml:space="preserve"> NO APLICA</t>
  </si>
  <si>
    <t>NO APLICA</t>
  </si>
  <si>
    <t>Desarrollar una (1) estrategia de Comunicación, socialización y divulgación: Componente 1</t>
  </si>
  <si>
    <t>Estudio de la  Estrategia de cualificación, investigación e innovación docente: comunidades de saber y de práctica pedagógica</t>
  </si>
  <si>
    <t>Prestación de servicios para la adquisición de licencias Google Apps</t>
  </si>
  <si>
    <t>Componente N° 2: Estategia de Cualificación investigación e innovación docente: Comunidades de saber y de práctica pedagógica</t>
  </si>
  <si>
    <t>Componente No.1 "Sistema de Seguimiento a la política educativa distrital en los contextos escolares."</t>
  </si>
  <si>
    <t>82111901
 82111902</t>
  </si>
  <si>
    <t>43201834
 43201835
43211501
 43211502
 43222501
 43222502
 43233203
 43233204
81112210
81112301
 81112305
81112501</t>
  </si>
  <si>
    <t>Impuestos, tasas, contribuciones, derechos y multas</t>
  </si>
  <si>
    <t xml:space="preserve"> Salud ocupacional</t>
  </si>
  <si>
    <t xml:space="preserve"> Bienestar e incentivos</t>
  </si>
  <si>
    <t xml:space="preserve"> Capacitación</t>
  </si>
  <si>
    <t>Servicios Públicos</t>
  </si>
  <si>
    <t>Mantenimiento entidad</t>
  </si>
  <si>
    <t xml:space="preserve"> Impresos y publicaciones</t>
  </si>
  <si>
    <t xml:space="preserve"> Gastos de transporte y comunicación</t>
  </si>
  <si>
    <t>Arrendamientos</t>
  </si>
  <si>
    <t xml:space="preserve"> Materiales y suministros</t>
  </si>
  <si>
    <t>Combustibles, lubricantes y llantas</t>
  </si>
  <si>
    <t>Fecha Aprobación: 23/12/2016</t>
  </si>
  <si>
    <t>Codigo 383 
Un sistema de seguimiento a la Política Educativa Distrital en los contestos Escolare Ajustado e Implementado</t>
  </si>
  <si>
    <t>Codigo 386 
Tres centros de Innovación que dinamizan las Estrategias y procesos en la Red de Innovación del Maestro</t>
  </si>
  <si>
    <t>Codido 419
Sostener en el 100% la implementación del Sistema Integrado de Gestión</t>
  </si>
  <si>
    <t>Versión:3</t>
  </si>
  <si>
    <t>Fecha Aprobación 23/12/2016</t>
  </si>
  <si>
    <t>Código: FT-DIP-02-03</t>
  </si>
  <si>
    <t>Sostener 100% la implementación del Sistema Integrado de Gestión</t>
  </si>
  <si>
    <t>Sostenibilidad del SiG en el ámbito de los Subsistemas de Calidad  , Control interno, Seguridad de la Información y Gestión Documental y Archivo</t>
  </si>
  <si>
    <t>Proyecto Estratégico Plan de Desarrollo</t>
  </si>
  <si>
    <t>Metas de resultado Plan de Desarrollo</t>
  </si>
  <si>
    <t>Componente del proyecto de Inversión</t>
  </si>
  <si>
    <t>Metas Proyecto del 2016 AL 2020</t>
  </si>
  <si>
    <t>Meta Vigencia 2017</t>
  </si>
  <si>
    <t>PLAN DE ADQUISICIONES INVERSIÓN 2017</t>
  </si>
  <si>
    <t xml:space="preserve">Plan Distrital de Desarrollo </t>
  </si>
  <si>
    <t>Proyecto  de Inversión No.</t>
  </si>
  <si>
    <t>1079  Investigación e innovación para el fortalecimiento de las comunidades de saber y práctica pedagógica.</t>
  </si>
  <si>
    <t>01 Igualdad de Calidad de Vida</t>
  </si>
  <si>
    <t>06 Calidad educativa para todos</t>
  </si>
  <si>
    <t>115 Fortalecimiento Institucional desde la Gestión Pedagogíca</t>
  </si>
  <si>
    <t>113 Bogotá reconoce a sus maestras, maestros y directivos docentes.</t>
  </si>
  <si>
    <t>Proyecto Estrategico</t>
  </si>
  <si>
    <t>Página: 1 de 8</t>
  </si>
  <si>
    <t xml:space="preserve">Total Actividad </t>
  </si>
  <si>
    <t>1039 Fortalecimiento a la Gestión Institucional</t>
  </si>
  <si>
    <t>7  Eje Transversal Gobierno legítimo, fortalecimiento local y eficiencia</t>
  </si>
  <si>
    <t>42 Transparencia, Gestión Pública y Servicio a la Ciudadanía</t>
  </si>
  <si>
    <t>184 Fortalecimiento de la gestión educativa institucional</t>
  </si>
  <si>
    <t>Pilar / Eje</t>
  </si>
  <si>
    <t xml:space="preserve">Programa </t>
  </si>
  <si>
    <t>Proyecto Estratégico</t>
  </si>
  <si>
    <t>Rubro Presupuestal</t>
  </si>
  <si>
    <t>PLAN DE ADQUISICIONES DE FUNCIONAMIENTO 2017</t>
  </si>
  <si>
    <t>GRAN TOTAL PLAN DE ADQUISICIONES AÑO 2017</t>
  </si>
  <si>
    <t>OLGA LUCIA SANCHEZ MENDIETA</t>
  </si>
  <si>
    <t>Jefe Oficina Asesora de Planeación</t>
  </si>
  <si>
    <t>Item SIAFI</t>
  </si>
  <si>
    <t xml:space="preserve">Minima Cuantia </t>
  </si>
  <si>
    <t>Contratación
 Directa</t>
  </si>
  <si>
    <t>Gastos
 Directos</t>
  </si>
  <si>
    <t>Gastos 
Directos</t>
  </si>
  <si>
    <t>Selección 
Abreviada</t>
  </si>
  <si>
    <t>Selección
 Abreviada</t>
  </si>
  <si>
    <t>Selección 
Abreviada</t>
  </si>
  <si>
    <t>Página: 1 de 3</t>
  </si>
  <si>
    <t>TOTAL ACTIVIDAD</t>
  </si>
  <si>
    <t>Item Contratación a la vista</t>
  </si>
  <si>
    <t>Realizar cinco (5) estudios de la Estrategia de cualificación, investigación e innovación docente: comunidades de saber y de práctica pedagógica"</t>
  </si>
  <si>
    <t>Realizar un (1) estudio Sistema de seguimiento a la política educativa distrital en los contextos escolares.</t>
  </si>
  <si>
    <t>Realizar cinco (5) estudios Sistema de seguimiento a la política educativa distrital en los contextos escolares.</t>
  </si>
  <si>
    <t>Prestación de servicios profesionales  para aplicar la metodología de Evaluación  de impacto a proyectos de investigación del IDEP Fase 2, seleccionados en la vigencia 2016.</t>
  </si>
  <si>
    <t>junio</t>
  </si>
  <si>
    <t>Estudio Escuela Curriculo y Pedagogía</t>
  </si>
  <si>
    <t>Prestación de servicios profesionales para efectuar un estudio de la línea de investigación de Escuela, currículo y pedagogía</t>
  </si>
  <si>
    <t>Estudio Educación y Polìticas Publicas: Sistema de Monitoreo de los Estandars de Calidad en Educación inicial</t>
  </si>
  <si>
    <t>Prestación de servicios profesionales para realizar la edición del magazín "Aula Urbana".</t>
  </si>
  <si>
    <t>Aunar esfuerzos para realizar procesos de cualificación en los tres niveles de acompañamiento a docentes y reconocimiento en territorio de experiencias pedagógicas significativas</t>
  </si>
  <si>
    <t>Estudio Escuela Curriculo y Pedagogía: Prácticas de Evaluación componente 2</t>
  </si>
  <si>
    <t xml:space="preserve"> Profesional 222-06.</t>
  </si>
  <si>
    <t xml:space="preserve">Asesor 105-02 </t>
  </si>
  <si>
    <t>Arrendar un (1) stand, con el propósito que el Instituto para la Investigación Educativa y el Desarrollo Pedagógico IDEP, participe como expositor en la XXX Feria Internacional del Libro de Bogotá -Colombia</t>
  </si>
  <si>
    <t>Minima cuantia</t>
  </si>
  <si>
    <t>TIENDA VIRTUAL - COLOMBIA COMPRA EFICIENTE</t>
  </si>
  <si>
    <t>CONTRATACIÓN DIRECTA</t>
  </si>
  <si>
    <t>MINIMA CUANTÍA</t>
  </si>
  <si>
    <t>SELECCIÓN ABREVIADA - MENOR CUANTÍA</t>
  </si>
  <si>
    <t>MODALIDAD- SECOP</t>
  </si>
  <si>
    <t>MODALIDAD SIAFI</t>
  </si>
  <si>
    <t xml:space="preserve">Prestar servicios profesionales para  apoyar las actividades del proceso de gestión de Talento Humano </t>
  </si>
  <si>
    <t>Prestación del servicio de un canal de Internet dedicado con un ancho de banda de 20 Mbps.</t>
  </si>
  <si>
    <t>MODALIDAD SECOP</t>
  </si>
  <si>
    <t>TOTAL  OTROS GASTOS GENERALES</t>
  </si>
  <si>
    <t>TOTAL  ADQUISICIÓN DE BIENES</t>
  </si>
  <si>
    <t>TOTAL ADQUISICIÓN DE SERVICIOS</t>
  </si>
  <si>
    <t>Documentación  información y memoria institucional componente 2</t>
  </si>
  <si>
    <t>Fecha Contrato</t>
  </si>
  <si>
    <t>No. Contrato</t>
  </si>
  <si>
    <t>Nombre del Contratista</t>
  </si>
  <si>
    <t>TRANSF.</t>
  </si>
  <si>
    <t>RECURSOS 
PROPIOS</t>
  </si>
  <si>
    <t xml:space="preserve">RECURSOS 
DE LA VIGENCIA </t>
  </si>
  <si>
    <t>RECURSOS
 PROPIOS</t>
  </si>
  <si>
    <t>MARISOL HERNANDEZ</t>
  </si>
  <si>
    <t>DIANA CAROLINA MARTINEZ</t>
  </si>
  <si>
    <t>ORACLE COLOMBIA LTDA</t>
  </si>
  <si>
    <t>Estudio Sistema de seguimiento a la política educativa distrital en los contextos escolares -Fase 2</t>
  </si>
  <si>
    <t>Sostenibilidad del   Sistema Integrado de Gestión</t>
  </si>
  <si>
    <t>Prestación de servicios profesionales para  realizar la  consolidación de referentes conceptuales del Sistema de Seguimiento a la política educativa distrital en los contextos escolares, Fase 2</t>
  </si>
  <si>
    <t>Prestación de servicios profesionales para  realizar la  consolidación de referentes metodológicos, técnicos e instrumentales del Sistema de Seguimiento a la política educativa distrital en los contextos escolares, Fase 2</t>
  </si>
  <si>
    <t>Prestación de servicios profesionales para implementar la estrategia de comunicación y gestión del conocimiento, en el marco del Diseño del Sistema de Seguimiento a la política educativa distrital en los contextos escolares, Fase 2.</t>
  </si>
  <si>
    <t xml:space="preserve">Prestación de servicios profesionales para realizar el análisis cuantitativo de  la consulta a las fuentes primarias y el análisis documental de  fuentes secundarias del programa Calidad Educativa para Todos, en la primera aplicación del  Sistema de seguimiento a la política educativa distrital en los contextos escolares, Fase 2 </t>
  </si>
  <si>
    <t>Prestación de servicios profesionales para realizar el análisis cualitativo de  la consulta a las fuentes primarias y el análisis documental de  fuentes secundarias del programa Calidad Educativa para Todos, en la primera aplicación del  Sistema de seguimiento a la política educativa distrital en los contextos escolares, Fase 2</t>
  </si>
  <si>
    <t>Prestación de servicios profesionales para realizar el análisis cualitativo y cuantitativo de  la consulta a las fuentes primarias y el análisis documental de  fuentes secundarias del programa Equipo para el reencuentro, la reconciliación y la paz, en la primera aplicación del  Sistema de seguimiento a la política educativa distrital en los contextos escolares, Fase 2</t>
  </si>
  <si>
    <t>Prestación de servicios  para realizar el diseño y la diagramación del magazín "Aula Urbana".</t>
  </si>
  <si>
    <t>Prestación de servicios profesionales para la construcción de contenidos y efectuar las actividades de actualización de la página web del IDEP</t>
  </si>
  <si>
    <t>Prestación de servicios profesionales para dar soporte a página web del IDEP y a la infraestructura tecnológica del instituto</t>
  </si>
  <si>
    <t>ETB</t>
  </si>
  <si>
    <t>Avanzar en 0,25 de un Diseño del Sistema de seguimiento a la política educativa distrital en los contextos escolares.</t>
  </si>
  <si>
    <t>Avanzar en  (1) un Diseño del Sistema de seguimiento a la política educativa distrital en los contextos escolares.</t>
  </si>
  <si>
    <t>EJECUCIÓN TRANSFERENCIAS</t>
  </si>
  <si>
    <t>EJECUCIÓN RECURSOS PROPIOS</t>
  </si>
  <si>
    <t>EJECUCIÓN TOTAL</t>
  </si>
  <si>
    <t>CON VIABILIDAD PLANEACIÓN</t>
  </si>
  <si>
    <t>OFICINA</t>
  </si>
  <si>
    <t>Prestar servicios para difundir en televisión nacional abierta por medio de la serie “francisco el matemático”, las estrategias y campañas del distrito capital para la promoción de valores cívicos, competencias ciudadanas y autocuidado, que contribuyen al mejoramiento de la calidad de vida de la comunidad educativa del distrito y la ciudadanía en general, en el marco del plan de desarrollo “bogotá mejor para todos”</t>
  </si>
  <si>
    <t>Arrendar el inmueble distinguido como oficina 402 A ubicado en la Avenida Calle 26 No. 69 D-91 Torre Peatonal “Centro Empresarial Arrecife (Etapa II) piso 4to. Propiedad Horizontal”, de la ciudad de Bogotá,  incluyendo los parqueaderos Nros. 265 y 266 del sótano No. 3, con el fin de que allí funcione  la sede  del IDEP.</t>
  </si>
  <si>
    <t>Arrendar el inmueble distinguido como oficina 402 B ubicado en la Avenida Calle 26 No. 69 D-91 Torre Peatonal “Centro Empresarial Arrecife (Etapa II) piso 4to. Propiedad Horizontal”, de la ciudad de Bogotá,  incluyendo los parqueaderos Nros. 267 y 268 del sótano No. 3, con el fin de que allí funcione  la sede  del IDEP.</t>
  </si>
  <si>
    <t>Arrendar el inmueble distinguido como oficina 805 ubicado en la Avenida Calle 26 No. 69 D-91 Torre Peatonal “Centro Empresarial Arrecife (Etapa II) piso 8vo. Propiedad Horizontal”, de la ciudad de Bogotá,  incluyendo los parqueaderos Nros. 76, 77 y 115 del sótano No. 2, con el fin de que allí funcione  la sede  del IDEP.</t>
  </si>
  <si>
    <t>Arrendar el inmueble distinguido como oficina 806 ubicado en la Avenida Calle 26 No. 69 D-91 Torre Peatonal “Centro Empresarial Arrecife (Etapa II) piso 8vo Propiedad Horizontal”, de la ciudad de Bogotá,  incluyendo los parqueaderos Nros. 151 y 152 del sótano No. 2, con el fin de que allí funcione  la sede  del IDEP.</t>
  </si>
  <si>
    <t xml:space="preserve">Prestar servicios profesionales para  realizar acompañamiento en temas de seguridad y salud en el trabajo y  tercerización de liquidación de  Nómina. </t>
  </si>
  <si>
    <t>OMAR PULIDO CHAVES</t>
  </si>
  <si>
    <t>GABRIEL TORRES VARGAS</t>
  </si>
  <si>
    <t>GLADYS AMAYA ROSARIO</t>
  </si>
  <si>
    <t>LINA VARGAS ALVAREZ</t>
  </si>
  <si>
    <t>LUIS ROJAS GARCIA</t>
  </si>
  <si>
    <t>JULIAN ROSERO NAVARRETE</t>
  </si>
  <si>
    <t>JAVIER VARGAS ACOSTA</t>
  </si>
  <si>
    <t>GUSTAVO MARTINEZ</t>
  </si>
  <si>
    <t>RICHAR ROMO GUACAS</t>
  </si>
  <si>
    <t>OLGA BEJARANO BEJARANO</t>
  </si>
  <si>
    <t>LUZ CARDOZO ESPITIA</t>
  </si>
  <si>
    <t>ADRIANA LONDOÑO CANCELADO</t>
  </si>
  <si>
    <t>Prestación de servicios profesionales para apoyar la implementación, monitoreo, soporte y sostenibilidad de los Subsistemas de Gestión de Calidad, Control Interno y Responsabilidad Social; así como para la implementación, monitoreo, soporte y sostenibilidad del Sistema Integrado de Gestión SIG del IDEP.</t>
  </si>
  <si>
    <t>Prestación de servicios profesionales para apoyar los procesos de planeación, control a la ejecución, seguimiento a la inversión y verificación de cumplimiento a las metas, proyectos, planes, programas e indicadores del IDEP.</t>
  </si>
  <si>
    <t>Prestación de servicios profesionales para apoyar el monitoreo, soporte, mantenimiento y sostenibilidad de los sistemas de información y la infraestructura tecnológica del IDEP y la implementación del Subsistema de Seguridad de la Información que hace parte del Sistema Integrado de Gestión de la entidad.</t>
  </si>
  <si>
    <t>Inmobiliaria 1 Casa Grande Ltda</t>
  </si>
  <si>
    <t>MARTHA VIVES HURTADO</t>
  </si>
  <si>
    <t>OSCAR LOZANO MANRIQUE</t>
  </si>
  <si>
    <t>NOHORA ROSO GUEVARA</t>
  </si>
  <si>
    <t>NADIA PINEDA SARMIENTO</t>
  </si>
  <si>
    <t>JAIME ACOSTA DIAZ</t>
  </si>
  <si>
    <t>EDISON BARRERO TORRES</t>
  </si>
  <si>
    <t>STEFANIA ORTEGA LUGO</t>
  </si>
  <si>
    <t>Prestación de servicios para la impresión de publicaciones del Instituto para la Investigación Educativa y el Desarrollo Pedagógico, IDEP</t>
  </si>
  <si>
    <t xml:space="preserve">Adición al contrato No. 68 de 2016 " Prestación de servicios profesionales para el diseño de una estrategia de educomunicación institucional con el uso y desarrollo de  las  Tecnologías de la Información y la Comunicación, TIC". </t>
  </si>
  <si>
    <t>Prestar servicios profesionales para apoyar en la gestión de los procesos asociados con el área de Talento Humano de la entidad.</t>
  </si>
  <si>
    <t>Prestación de servicios profesionales para apoyar el seguimiento a los planes, proyectos, metas, indicadores del IDEP, así como para el cumplimiento de los procedimientos establecidos en el proceso de Dirección y Planeación que hace parte del Sistema Integrado de Gestión SIG.</t>
  </si>
  <si>
    <t>NELSON RODRIGUEZ BUITRAGO</t>
  </si>
  <si>
    <t>EDITORIAL MAGISTERIO</t>
  </si>
  <si>
    <t>COOPERATIVA EDITORIAL MAGISTERIO</t>
  </si>
  <si>
    <t>VIVIANA MONROY PRECIADO</t>
  </si>
  <si>
    <t>oficina</t>
  </si>
  <si>
    <t>Item contratación a la vista</t>
  </si>
  <si>
    <t>con viabilidad</t>
  </si>
  <si>
    <t>RECURSOS PROPIOS</t>
  </si>
  <si>
    <t>Gastos de computador</t>
  </si>
  <si>
    <t xml:space="preserve">Adquisición de Bienes </t>
  </si>
  <si>
    <t>Adquisición de servicios</t>
  </si>
  <si>
    <t>Servicios publicos</t>
  </si>
  <si>
    <t>Impresos y publicaciones</t>
  </si>
  <si>
    <t>Mantenimiento Entidad</t>
  </si>
  <si>
    <t>Capacitación</t>
  </si>
  <si>
    <t>Bienestar e incentivos</t>
  </si>
  <si>
    <t>Salud ocupacional</t>
  </si>
  <si>
    <t>Otros Gastos Generales</t>
  </si>
  <si>
    <t>Rubro presupuestal</t>
  </si>
  <si>
    <t>Materiales y suministros</t>
  </si>
  <si>
    <t>Subdirección Adminsitrativa Financiera</t>
  </si>
  <si>
    <t>Compra de Radios de Comunicación para la Brigada de Emergencias del IDEP</t>
  </si>
  <si>
    <t>ANDREA SARMIENTO BOHORQUEZ</t>
  </si>
  <si>
    <t>RCN TELEVISIÓN</t>
  </si>
  <si>
    <t>LUISA TRUJILLO MARTINEZ</t>
  </si>
  <si>
    <t>ITEM CONTRATACIÓN A LA  VISTA</t>
  </si>
  <si>
    <t>Oficina Asesora de Planeación</t>
  </si>
  <si>
    <t>Oficina Asesora Jurídica</t>
  </si>
  <si>
    <t>Subdirección Administrativa financiera</t>
  </si>
  <si>
    <t>VIABILIDAD</t>
  </si>
  <si>
    <t>DIEGO VARGAS VARGAS</t>
  </si>
  <si>
    <t>LAURA RAMIREZ GARCIA</t>
  </si>
  <si>
    <t>CAROLINA ORTIZ TOVAR</t>
  </si>
  <si>
    <t>Prestación de servicios profesionales para apoyar el levantamiento y documentación de procesos, procedimientos, manuales, instructivos, formatos, riesgos, indicadores y demás documentos e instrumentos requeridos para los procesos de la Entidad, como parte de las estrategias de implementación, monitoreo, soporte y sostenibilidad del Sistema Integrado de Gestión SIG del IDEP en el marco de la norma NTD-SIG 001:2011.</t>
  </si>
  <si>
    <t>1038 Fortalecimiento a la Gestión Institucional</t>
  </si>
  <si>
    <t>JAIME PARRA RODRIGUEZ</t>
  </si>
  <si>
    <t>Adición No. 1 al contrato No. 34 de 2016 Prestación de servicio  de soporte y actualización del sistema de información administrativa y financiera SIAFI del IDEP</t>
  </si>
  <si>
    <t>Prestación de servicio  de soporte, actualización y mantenimiento al sistema de información HUMANO</t>
  </si>
  <si>
    <t>EXPOSICIÓN DE FERIAS Y EXPOSICIONES S.A.</t>
  </si>
  <si>
    <t>ITGO S.A.S</t>
  </si>
  <si>
    <t xml:space="preserve">Abril </t>
  </si>
  <si>
    <t>Julio</t>
  </si>
  <si>
    <t>Prestación de servicio para realizar
el mantenimiento preventivo y correctivo de los equipos que conforman la  plataforma tecnológica del IDEP.</t>
  </si>
  <si>
    <t>MIGUEL ANGEL VARGAS HERNANDEZ</t>
  </si>
  <si>
    <t>EMILIANO BRICEÑO CARDENAS</t>
  </si>
  <si>
    <t>SOPORTE LOGICO</t>
  </si>
  <si>
    <t xml:space="preserve">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t>
  </si>
  <si>
    <t>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t>
  </si>
  <si>
    <t>Estudio Escuela Currículo y Pedagogía: Monitoreo y seguimiento a las experiencias escolares asociadas a la línea estratégica del Plan Sectorial de Educación “Equipo por la Educación para el reencuentro, la Reconciliación y la Paz”</t>
  </si>
  <si>
    <t>Prestación de servicios profesionales para realizar la revisión y análisis de datos estadísticos de diferentes fuentes secundarias relacionadas con temas de sexualidad para el estudio “Abordaje integral de la maternidad y la paternidad tempranas en el contexto escolar – fase II. Elaboración de un cuerpo de indicadores”, en el marco del Convenio 1452 de 2017 en su Componente 2.</t>
  </si>
  <si>
    <t>Prestación de servicios profesionales para orientar académicamente, desde una perspectiva cualitativa, el estudio “Abordaje integral de la maternidad y la paternidad tempranas en el contexto escolar – fase II. Elaboración de un cuerpo de indicadores”, en el marco del Convenio 1452 de 2017 en su Componente 2.</t>
  </si>
  <si>
    <t>Prestación de servicios profesionales para orientar académicamente, desde una perspectiva cuantitativa, el estudio “Abordaje integral de la maternidad y la paternidad tempranas en el contexto escolar – fase II. Elaboración de un cuerpo de indicadores”, en el marco del Convenio 1452 de 2017 en su Componente 2.</t>
  </si>
  <si>
    <t>Prestación de servicios profesionales para la construcción de indicadores e instrumentos cualitativos del estudio “Abordaje integral de la maternidad y la paternidad tempranas en el contexto escolar – fase II. Elaboración de un cuerpo de indicadores”, en el marco del Convenio 1452 del 17 de marzo de 2017 en su Componente 2.</t>
  </si>
  <si>
    <t>Prestación de servicios profesionales para la construcción de indicadores e instrumentos cuantitativos del estudio “Abordaje integral de la maternidad y la paternidad tempranas en el contexto escolar – fase II. Elaboración de un cuerpo de indicadores”, en el marco del Convenio 1452 de 2017 en su Componente 2.</t>
  </si>
  <si>
    <t>Prestación de servicios profesionales para la articulación y consolidación de la información producida durante el desarrollo del estudio de elaboración y aplicación de un sistema de monitoreo al cumplimiento de los estándares de calidad en Educación Inicial, en el marco del Convenio 1452 de 2017 en su componente 3.</t>
  </si>
  <si>
    <t>Prestación de servicios profesionales para el ajuste, validación de la metodología, monitoreo a la aplicación, análisis e interpretación de resultados de instrumentos cuantitativos del estudio de elaboración y aplicación de un sistema de monitoreo al cumplimiento de los estándares de calidad en Educación Inicial, en el marco del Convenio 1452 de 2017 en su componente 3.</t>
  </si>
  <si>
    <t>Prestación de servicios profesionales para el desarrollo, ajuste, monitoreo a la aplicación, análisis e interpretación de resultados de instrumentos cualitativos complementarios del estudio de elaboración y aplicación de un sistema de monitoreo al cumplimiento de los estándares de calidad en Educación Inicial, en el marco del Convenio 1452 de 2017 en su componente 3.</t>
  </si>
  <si>
    <t>Prestación de servicios profesionales para elaborar, implementar, evaluar y validar las estrategias operativa, comunicativa y de movilización social del estudio de elaboración y aplicación de un sistema de monitoreo al cumplimiento de los estándares de calidad en Educación Inicial, en el marco del Convenio 1452 de 2017 en su componente 3.</t>
  </si>
  <si>
    <t>Prestación de servicios profesionales para preparar, implementar y evaluar la estrategia de gestión de la información y del conocimiento del estudio de elaboración y aplicación de un sistema de monitoreo al cumplimiento de los estándares de calidad en Educación Inicial en el marco del Convenio 1452 del 17 de marzo de 2017 en su componente 3.</t>
  </si>
  <si>
    <t>Prestación de servicios profesionales para orientar conceptual y metodológicamente la caracterización y consolidación  de experiencias pedagógicas en las localidades del Distrito Capital, en el marco del Convenio 1452 de 2017 en su componente 4.</t>
  </si>
  <si>
    <t>Prestación de servicios profesionales para realizar la caracterización y consolidación  de experiencias pedagógicas en las localidades 4, 5, 6, 19, 20 del Distrito Capital, en el marco del Convenio 1452 de 2017 en su componente 4.</t>
  </si>
  <si>
    <t>Prestación de servicios profesionales para realizar la caracterización y consolidación  de experiencias pedagógicas en las localidades  1, 2, 3, 10, 11, 12, 13, 16, 17 del Distrito Capital, en el marco del Convenio 1452 de 2017 en su componente 4.</t>
  </si>
  <si>
    <t>Prestación de servicios profesionales para realizar la caracterización y consolidación  de experiencias pedagógicas en las localidades 7, 8, 9, 14, 15, 18 del Distrito Capital, en el marco del Convenio 1452 de 2017 en su componente 4.</t>
  </si>
  <si>
    <t>Prestación de servicios profesionales para realizar el apoyo administrativo, en el marco del Convenio 1452 de 2017 en su componente 4.</t>
  </si>
  <si>
    <t>Estudio de Cualificación Docente: Formulación de la estrategia de desarrollo personal de los docentes – Ser Maestro.</t>
  </si>
  <si>
    <t>Prestación de servicios profesionales para  apoyar la elaboración  de los referentes conceptuales y metodológicos de una estrategia para el desarrollo personal de los docentes, en el marco del Convenio 1452 de 2017 en su componente 4.</t>
  </si>
  <si>
    <t>Prestación de servicios profesionales para  apoyar la elaboración  de los referentes pedagógicos y técnicos de una estrategia para el desarrollo personal de los docentes, en el marco del Convenio 1452 de 2017 en su componente 4.</t>
  </si>
  <si>
    <t>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t>
  </si>
  <si>
    <t>Prestación de servicios profesionales para realizar los lineamientos conceptuales y metodológicos  para  la creación de una RED de Instituciones por la Evaluación en el Distrito Capital, en el marco del Convenio  1452   de 2017 en su componente 1</t>
  </si>
  <si>
    <t>Prestación de servicios profesionales para apoyar académicamente  la supervisión y orientar conceptual y metodológicamente los encuentros, talleres y seminarios  entre entidades, instituciones, directivos y docentes participantes en el estudio sobre prácticas significativas de evaluación en las IED, así como la clasificación y consolidación de productos derivados del estudio, en el marco del Convenio  1452   de 2017 en su componente 1.</t>
  </si>
  <si>
    <t>Prestación de servicios profesionales para realizar la caracterización, sistematización y análisis de buenas prácticas de evaluación, así como el levantamiento de información para la línea de base sobre prácticas de evaluación en todas las instituciones oficiales del Distrito Capital, en el marco del Convenio 1452   de 2017 en su componente 1.</t>
  </si>
  <si>
    <t>Prestación de servicios profesionales para  realizar el apoyo administrativo y de asistencia académica para el estudio sobre prácticas evaluativas, en el marco del Convenio  1452 de 2017 en su componente 1.</t>
  </si>
  <si>
    <t>Reconocimiento docente</t>
  </si>
  <si>
    <t>Prestación de servicios profesionales para apoyar la gestión académica y administrativa de la XI versión del Premio a la Investigación e Innovación educativa, en el marco del Convenio 1452 de 2017 en su componente 5.</t>
  </si>
  <si>
    <t>Prestación de servicios de apoyo para el desarrollo logístico, operativo y asistencial de actividades de carácter académico y promocional en la XI versión del Premio a la Investigación e Innovación Educativa, en el marco del Convenio 1452 de 2017 en su componente 5.</t>
  </si>
  <si>
    <t>Prestación de servicios profesionales para apoyar la gestión académica, logística y administrativa de las actividades culturales, académicas e incentivos, en el marco del Convenio 1452 de 2017 en su componente 5.</t>
  </si>
  <si>
    <t xml:space="preserve">Prestación de servicios profesionales para realizar acciones de comunicación en los canales y medios institucionales, difusión externa, prensa y manejo de relaciones con medios de comunicación para la divulgación y socialización de las actividades realizadas por el IDEP en el marco del Convenio 1452 de 2017. </t>
  </si>
  <si>
    <t>Prestación de servicios profesionales para orientar conceptual y metodológicamente el estudio sobre prácticas de evaluación,  en el marco del convenio  1452  de 2017 en su componente 1.</t>
  </si>
  <si>
    <t>Adición No. 1 del 2017 al contrato No. 31 de 2016 Prestación de los servicios de aseo y cafetería, con suministro de insumos, en las instalaciones del Instituto para la Investigación Educativa y el Desarrollo Pedagógico - IDEP.</t>
  </si>
  <si>
    <t>Realizar 3 Estudios en Escuela currículo y pedagogía, Educación y políticas públicas y Cualificación docente</t>
  </si>
  <si>
    <t xml:space="preserve"> Realizar un (1) estudio de la  Estrategia de cualificación, investigación e innovación docente: comunidades de saber y de práctica pedagógica</t>
  </si>
  <si>
    <t>Realizar tres (3) Estudios Escuela Curriculo y Pedagogía, Educación y políticas públicas y Cualificación docente componente de cualificación, investigación e innovación docente:Comunidades de saber y de práctica pedagógica.</t>
  </si>
  <si>
    <t>Realizar once (11) Estudios en Escuela currículo y pedagogía, Educación y políticas públicas y Cualificación docente del componente de cualificación, investigación e innovación docente: Comunidades de saber y de práctica pedagógica.</t>
  </si>
  <si>
    <t>Estudio Educación y Políticas Publicas: Abordaje de Maternidad y Paternidad Fase II</t>
  </si>
  <si>
    <t>MARIO GARCIA ANGEL</t>
  </si>
  <si>
    <t>FUNDACION VIVENCIA</t>
  </si>
  <si>
    <t>EFORCERS</t>
  </si>
  <si>
    <t>1080  Investigación e innovación para el fortalecimiento de las comunidades de saber y práctica pedagógica.</t>
  </si>
  <si>
    <t>1081  Investigación e innovación para el fortalecimiento de las comunidades de saber y práctica pedagógica.</t>
  </si>
  <si>
    <t>1082  Investigación e innovación para el fortalecimiento de las comunidades de saber y práctica pedagógica.</t>
  </si>
  <si>
    <t>1083  Investigación e innovación para el fortalecimiento de las comunidades de saber y práctica pedagógica.</t>
  </si>
  <si>
    <t>1084  Investigación e innovación para el fortalecimiento de las comunidades de saber y práctica pedagógica.</t>
  </si>
  <si>
    <t>1085  Investigación e innovación para el fortalecimiento de las comunidades de saber y práctica pedagógica.</t>
  </si>
  <si>
    <t>1086  Investigación e innovación para el fortalecimiento de las comunidades de saber y práctica pedagógica.</t>
  </si>
  <si>
    <t>1087  Investigación e innovación para el fortalecimiento de las comunidades de saber y práctica pedagógica.</t>
  </si>
  <si>
    <t>1088  Investigación e innovación para el fortalecimiento de las comunidades de saber y práctica pedagógica.</t>
  </si>
  <si>
    <t>1089  Investigación e innovación para el fortalecimiento de las comunidades de saber y práctica pedagógica.</t>
  </si>
  <si>
    <t>1090  Investigación e innovación para el fortalecimiento de las comunidades de saber y práctica pedagógica.</t>
  </si>
  <si>
    <t>1091  Investigación e innovación para el fortalecimiento de las comunidades de saber y práctica pedagógica.</t>
  </si>
  <si>
    <t>1092  Investigación e innovación para el fortalecimiento de las comunidades de saber y práctica pedagógica.</t>
  </si>
  <si>
    <t>1093  Investigación e innovación para el fortalecimiento de las comunidades de saber y práctica pedagógica.</t>
  </si>
  <si>
    <t>1094  Investigación e innovación para el fortalecimiento de las comunidades de saber y práctica pedagógica.</t>
  </si>
  <si>
    <t>1095  Investigación e innovación para el fortalecimiento de las comunidades de saber y práctica pedagógica.</t>
  </si>
  <si>
    <t>1096  Investigación e innovación para el fortalecimiento de las comunidades de saber y práctica pedagógica.</t>
  </si>
  <si>
    <t>1097  Investigación e innovación para el fortalecimiento de las comunidades de saber y práctica pedagógica.</t>
  </si>
  <si>
    <t>Prestación de servicios para adelantar el proceso de evaluación de los proyectos de investigación e innovación habilitados, en la XI versión del Premio de Investigación e Innovación Educativa, en el marco del Convenio 1452 de 2017 en su componente 5.</t>
  </si>
  <si>
    <t>Prestación de servicios profesionales para realizar la gestión administrativa dentro del estudio "Abordaje integral de la maternidad y la paternidad tempranas en el contexto escolar – fase II. Elaboración de un cuerpo de indicadores”, en el marco del Convenio 1452 de 2017 en su Componente 2.</t>
  </si>
  <si>
    <t>Prestación de servicios profesionales para apoyar en la gestión administrativa del estudio de elaboración y aplicación de un sistema de monitoreo al cumplimiento de los estándares de calidad en Educación Inicial, en el marco del Convenio 1452 de 2017 en su componente 3</t>
  </si>
  <si>
    <t>Profesionalo Especializado 222-03</t>
  </si>
  <si>
    <t>Profesional Especializado 222-04</t>
  </si>
  <si>
    <t>CAJA DE COMPENSACIÓN FAMILIAR COMPENSAR</t>
  </si>
  <si>
    <t>SALDO</t>
  </si>
  <si>
    <t>BETTY BLANCO SANDOVAL</t>
  </si>
  <si>
    <t>ANA MARIA CARO DIAZ</t>
  </si>
  <si>
    <t>LICED ANGELICA ZEA SILVA</t>
  </si>
  <si>
    <t>ADRIANA LOPEZ CAMACHO</t>
  </si>
  <si>
    <t>LUIS ALFONSO TAMAYO VALENCIA</t>
  </si>
  <si>
    <t>OSCAR JULIO SEGURA MARTINEZ</t>
  </si>
  <si>
    <t>JOHN RINCON HOLGUIN</t>
  </si>
  <si>
    <t>YUDY CAMARGO CAMARGO</t>
  </si>
  <si>
    <t>ALBERTO AYALA MORANTE</t>
  </si>
  <si>
    <t>NELSON MUÑOZ SANCHEZ</t>
  </si>
  <si>
    <t>ANA LUCIA FLOREZ GALVIS</t>
  </si>
  <si>
    <t>SERVIPROLUX</t>
  </si>
  <si>
    <t>Prestación de servicios profesionales para la implementación de la estrategia de educomunicación de las actividades realizadas por el IDEP en el marco de convenio 1452 de 2017 con el uso  y desarrollo de las Tecnologías de la Información y Comunicación, TIC.</t>
  </si>
  <si>
    <t>Prestación de servicios para apoyar la participación de los maestros, maestras y directivos docentes del sector oficial en el 13er Congreso Nacional de Lectura: Iguales pero diversos, en el marco del Convenio 1452 de 2017.</t>
  </si>
  <si>
    <t>Adición No. 2  del 2017 al contrato No. 31 de 2016 - Prestación de los servicios de aseo y cafetería, con suministro de insumos, en las instalaciones del Instituto para la Investigación Educativa y el Desarrollo Pedagógico - IDEP.</t>
  </si>
  <si>
    <t>Adición No. 1  del 2017 a la  Carta de Aceptación de la Oferta No. 30 de 2016 - 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</si>
  <si>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Prestación de servicios para apoyar en la actualización y consolidación del mapeo realizado por la SED y el IDEP en el  2016, para alimentar las aplicaciones de georeferenciación del IDECA (Mapas Bogotá y plataformas asociadas), que permitan visibilizar el resultado del mapeo de las experiencias de investigación, innovación educativa y redes pedagógicas de Bogotá, en el marco del Convenio 1452 de 2017 en su componente 4.</t>
  </si>
  <si>
    <t>Prestación de servicios profesionales para prestar el apoyo tecnológico y de comunicaciones del  estudio sobre  prácticas de evaluación  en el distrito capital en el marco  del Convenio  1452   de 2017 en su componente 1.</t>
  </si>
  <si>
    <t>Jorge Palacio</t>
  </si>
  <si>
    <t>Juliana Gutiérrez</t>
  </si>
  <si>
    <t>Luisa Acuña</t>
  </si>
  <si>
    <t>Martha Cuevas</t>
  </si>
  <si>
    <t>María Isabel Ramírez</t>
  </si>
  <si>
    <t>Diana Prada</t>
  </si>
  <si>
    <t>Andrea Bustamante</t>
  </si>
  <si>
    <t>Amanda Cortés</t>
  </si>
  <si>
    <t>Alexandra Díaz</t>
  </si>
  <si>
    <t>FUNDALECTURA</t>
  </si>
  <si>
    <t>ANDREA OSORIO VILLADA</t>
  </si>
  <si>
    <t>JUAN NIETO MOLINA</t>
  </si>
  <si>
    <t>MARIA LUISA TRUJILLO MARTINEZ</t>
  </si>
  <si>
    <t>ADRIANA CASTRO ROJAS</t>
  </si>
  <si>
    <t>GLORIA DIMATE CASTELLANOS</t>
  </si>
  <si>
    <t>LUZ MARIBEL PAEZ MENDIETA</t>
  </si>
  <si>
    <t>ADRIANA MOLANO VARGAS</t>
  </si>
  <si>
    <t>JHON CALDERON RODRIGUEZ</t>
  </si>
  <si>
    <t>RAFAEL CANO RAMIREZ</t>
  </si>
  <si>
    <t>Prestación de servicios para apoyar el seguimiento a planes de mejoramiento, programas e indicadores de la subdirección Administrativa, Financiera y de Control Disciplinario.</t>
  </si>
  <si>
    <t>Prestación de servicios para realizar la medición de intensidad luminosa y de temperatura en las instalaciones del IDEP, en el marco de la implementación del Sistema de Seguridad y Salud en el trabajo</t>
  </si>
  <si>
    <t>Prestación de servicios para identificar, evaluar, prevenir, intervenir y monitorear la exposición a factores de riesgo psicosocial en el trabajo, en el marco de la implementación del Sistema de Seguridad y Salud en el trabajo</t>
  </si>
  <si>
    <t>Adición No. 01 contrato 111 de 2016 "Prestación de servicios profesionales para el acompañamiento en los procesos de transición e implementación del Nuevo Marco Normativo para Entidades del Gobierno, en convergencia con Normas Internacionales de Información Financiera NIIF y Normas Internacionales de Contabilidad para el Sector Público - NICSP".</t>
  </si>
  <si>
    <t>Profesional 222-04</t>
  </si>
  <si>
    <t>Compra de dotación  Integral (vestido y calzado de labor), que tienen derecho a ella por disposiciones de Ley para el año 2017</t>
  </si>
  <si>
    <t>Profesional Especializado 222-07</t>
  </si>
  <si>
    <t>orden de aceptación</t>
  </si>
  <si>
    <t>ENLASE INHALAMBRICO GIGITAL</t>
  </si>
  <si>
    <t>Edwin Ferley Ortíz</t>
  </si>
  <si>
    <t>TOTAL GASTOS GENERALES</t>
  </si>
  <si>
    <t>TOTAL INVERSIÓN</t>
  </si>
  <si>
    <t>15 días</t>
  </si>
  <si>
    <t>Profesional especializado Presupuesto</t>
  </si>
  <si>
    <t>Prestación de servicios profesionales para desarrollar un proceso de investigación y formación, con el fin de cualificar el uso y apropiación de los resultados de 5 experiencias pedagógicas, investigaciones o innovaciones educativas, en el Distrito Capital, mediante la producción de narrativas con el fin de divulgarlas de manera innovadora (transmedia) de forma que impacten de manera más eficaz a sus comunidades académicas.</t>
  </si>
  <si>
    <t>DIRECTA</t>
  </si>
  <si>
    <t>CORREO</t>
  </si>
  <si>
    <t xml:space="preserve">OFICINA </t>
  </si>
  <si>
    <t>Diana María Prada</t>
  </si>
  <si>
    <t>UNION TEMPORAL BIOLIMPIEZA</t>
  </si>
  <si>
    <t>SOLUTION COPY LTDA</t>
  </si>
  <si>
    <t>TALLER DE EDICIÓN ROCCA S.A.</t>
  </si>
  <si>
    <t>FUNDACION UNIVERSITARIA CAFAM</t>
  </si>
  <si>
    <t>OSCAR MUNAR SUAREZ</t>
  </si>
  <si>
    <t>ALEJANDRA QUINTANA MARTINEZ</t>
  </si>
  <si>
    <t>MARINA BERNAL GOMEZ</t>
  </si>
  <si>
    <t>ANA MARIA GIRALDO VARGAS</t>
  </si>
  <si>
    <t>Contratar la prestación de servicios de intermediación de seguros, asesoría integral en el manejo de programa de seguros que el instituto requiera</t>
  </si>
  <si>
    <t>CONCURSO DE MERITO</t>
  </si>
  <si>
    <t>Seguros entidad</t>
  </si>
  <si>
    <t>RICHAR ROMO GUASCAS</t>
  </si>
  <si>
    <t>Membrecia anual (2017) al Consejo Latinoamericano de Ciencias Sociales- CLACSO</t>
  </si>
  <si>
    <t xml:space="preserve">Estudio de Cualificación Docente: Formulación de la estrategia de desarrollo personal de los docentes – Ser Maestro. </t>
  </si>
  <si>
    <t>DIEGO ARMANDO GUTIERREZ DIMATE</t>
  </si>
  <si>
    <t>CARLOS SOLANO REY</t>
  </si>
  <si>
    <t>Inversión</t>
  </si>
  <si>
    <t>AA MANTENIMIENTO Y COMPUTADORES S.A.S.</t>
  </si>
  <si>
    <t>CORPORACION UNIVERSITARIA MINUTO DE DIOS</t>
  </si>
  <si>
    <t xml:space="preserve">Gastos Generales </t>
  </si>
  <si>
    <t>Presupuesto 2017</t>
  </si>
  <si>
    <t>Disponibilidad - CDP</t>
  </si>
  <si>
    <t xml:space="preserve">Compromisos </t>
  </si>
  <si>
    <t>Pagos</t>
  </si>
  <si>
    <t>Concepto</t>
  </si>
  <si>
    <t>% de ejecución</t>
  </si>
  <si>
    <t>% de Giro</t>
  </si>
  <si>
    <t>Total</t>
  </si>
  <si>
    <t>Saldo</t>
  </si>
  <si>
    <t>Profesional Especializado 222-03</t>
  </si>
  <si>
    <t>CORPORACION MIXTA PARA LA INVESTIGACION Y DESARROLLO DE LA EDUCACION - CORPOEDUCACION</t>
  </si>
  <si>
    <t>83-84-85-86</t>
  </si>
  <si>
    <t>CI WARRIORS COMPANY S.A.S.</t>
  </si>
  <si>
    <t>Servicio de apoyo logístico para la realización de actividades recreativas para los hijos de los funcionarios las cuales tienen como fin contribuir al fortalecimiento de los procesos motivacionales, actitudinales y comportamentales de los servidores públicos.</t>
  </si>
  <si>
    <t>Adquisición de licencias Suite Ofimática y licencias para la administración de bases de datos.</t>
  </si>
  <si>
    <t xml:space="preserve">Adición No. 1 del 2017 al contrato No. 5 de 2017, Prestación del servicio de un canal de Internet dedicado con un ancho de banda de 20 Mbps </t>
  </si>
  <si>
    <t>Diciembre</t>
  </si>
  <si>
    <t>Suministro, instalación, configuración, licenciamiento, soporte técnico y puesta en marcha de una solución tecnológica Hiperconvergente</t>
  </si>
  <si>
    <t>Prestación de servicios profesionales para efectuar el seguimiento a las experiencias escolares asociadas a la línea estratégica del Plan Sectorial de Educación “Equipo por la Educación para el reencuentro, la Reconciliación y la Paz”</t>
  </si>
  <si>
    <t>Prestación de servicios para el desarrollo de un aplicativo como solución tecnológica, que permita fortalecer y administrar la convocatoria del Premio a la investigación e Innovación Educativa desde el micrositio del mismo, en el marco del convenio 1452 de 2017 en su componente 5.</t>
  </si>
  <si>
    <t>Selección Abreviada</t>
  </si>
  <si>
    <t>Prestación de servicios profesionales para fortalecer e impulsar la Red de innovación del Distrito a través del apoyo a las redes pedagógicas, en el marco del Convenio 1452 de 2017 en su componente 4.</t>
  </si>
  <si>
    <t>Septiembre</t>
  </si>
  <si>
    <t>Prestación de servicios profesionales para apoyar los procesos académicos relacionados con la indagación cualitativa, cuantitativa y mixta, en las líneas estratégicas de Calidad Educativa para Todos y Equipo por la Educación para el Reencuentro, la Reconciliación y la Paz,  en el marco de la primera aplicación del  Sistema de seguimiento a la política educativa distrital en los contextos escolares, Fase 2.</t>
  </si>
  <si>
    <t>Prestación de servicios profesionales para apoyar los procesos académicos relacionados con la indagación cualitativa y cuantitativa y la construcción de los planes de mejora de un sistema de monitoreo al cumplimiento de los estándares de calidad en Educación Inicial, en el marco del Convenio 1452 de 2017 en su componente 3.</t>
  </si>
  <si>
    <t xml:space="preserve">Prestación de servicio profesionales para desarrollar una estrategia de comunicación y divulgación de las acciones que realizan docentes investigadores, innovadores y redes pedagógicas que propicien intercambio de saberes en la ciudad de Bogotá, en el marco del Convenio 1452 de 2017 en su componente 4.
</t>
  </si>
  <si>
    <t>LILA BEATRIZ PINTO BORREGO</t>
  </si>
  <si>
    <t>PROGRAMACION CONTRATACIÓN 2017</t>
  </si>
  <si>
    <t>Etiquetas de fila</t>
  </si>
  <si>
    <t>Total general</t>
  </si>
  <si>
    <t>Área</t>
  </si>
  <si>
    <t>Subdirección Académica</t>
  </si>
  <si>
    <t>Oficina asesora e Planeación</t>
  </si>
  <si>
    <t>Subdirección Administrativa</t>
  </si>
  <si>
    <t>Etiquetas de columna</t>
  </si>
  <si>
    <t>Total Cantidad</t>
  </si>
  <si>
    <t>Cantidad</t>
  </si>
  <si>
    <t>Total Valor</t>
  </si>
  <si>
    <t>Valor</t>
  </si>
  <si>
    <t>Saldos contratos</t>
  </si>
  <si>
    <t>Fecha Ejecución Contrato</t>
  </si>
  <si>
    <t>(en blanco)</t>
  </si>
  <si>
    <t>EJECUCIÓN CONTRATOS A 26 DE MAYO 2017</t>
  </si>
  <si>
    <t>Pendiente por contratar</t>
  </si>
  <si>
    <t>Saldos</t>
  </si>
  <si>
    <t>Pendiente</t>
  </si>
  <si>
    <t>Cuenta de TOTAL2</t>
  </si>
  <si>
    <t>PENDIENTES POR CONTRATAR A 26 DE MAYO 2017</t>
  </si>
  <si>
    <t>ISBN - Olga Bonilla</t>
  </si>
  <si>
    <t>Licitación Pública</t>
  </si>
  <si>
    <t>MARÍA ANGÉLICA MARTÍNEZ VERGARA</t>
  </si>
  <si>
    <t>SOLUTION COPY LTDA.</t>
  </si>
  <si>
    <t>COMPENSAR</t>
  </si>
  <si>
    <t>DEPROYECTOS SAS.</t>
  </si>
  <si>
    <t>09/06/017</t>
  </si>
  <si>
    <t>UNIVERSIDAD EAFIT</t>
  </si>
  <si>
    <t>CORPORACIÓN MAGISTERIO</t>
  </si>
  <si>
    <t>CLACSO</t>
  </si>
  <si>
    <t>Subdirector Administrativo Financiero y de Control Disciplinario</t>
  </si>
  <si>
    <t>Prestación de servicios profesionales para realizar la formulación y orientación  del estudio “Exploración de aspectos socio-emocionales que pueden afectar procesos de paz y reconciliación en las IED de Bogotá en el marco del postconflicto”.</t>
  </si>
  <si>
    <t>Prestación de servicios profesionales para realizar el apoyo metodológico del estudio “Exploración de aspectos socio-emocionales que pueden afectar procesos de paz y reconciliación en las IED de Bogotá en el marco del postconflicto”.</t>
  </si>
  <si>
    <t>Prestación de servicios profesionales para realizar el apoyo académico del estudio “Exploración de aspectos socio-emocionales que pueden afectar procesos de paz y reconciliación en las IED de Bogotá en el marco del postconflicto”.</t>
  </si>
  <si>
    <t>Prestación de servicios profesionales para apoyar el diseño, la construcción y el pilotaje de los instrumentos, la recolección de información en la IED de la Zona A y la sistematización de los datos a obtener, en el estudio “Exploración de aspectos socio-emocionales que pueden afectar procesos de paz y reconciliación en las IED de Bogotá en el marco del postconflicto”</t>
  </si>
  <si>
    <t>Prestación de servicios profesionales para apoyar el diseño, la construcción y el pilotaje de los instrumentos, la recolección de información en la IED de la Zona B y la sistematización de los datos a obtener, en el estudio “Exploración de aspectos socio-emocionales que pueden afectar procesos de paz y reconciliación en las IED de Bogotá en el marco del postconflicto”</t>
  </si>
  <si>
    <t>Prestación de servicios profesionales para apoyar el diseño, la construcción y el pilotaje de los instrumentos, la recolección de información en la IED de la Zona C y la sistematización de los datos a obtener, en el estudio “Exploración de aspectos socio-emocionales que pueden afectar procesos de paz y reconciliación en las IED de Bogotá en el marco del postconflicto”</t>
  </si>
  <si>
    <t>Prestación de servicios profesionales para apoyar el diseño, la construcción y el pilotaje de los instrumentos, la recolección de información en la IED de la Zona D y la sistematización de los datos a obtener, en el estudio “Exploración de aspectos socio-emocionales que pueden afectar procesos de paz y reconciliación en las IED de Bogotá en el marco del postconflicto”</t>
  </si>
  <si>
    <t>MINIMA CUANTIA</t>
  </si>
  <si>
    <t xml:space="preserve">Prestación de servicios profesionales para realizar la revisión, ajuste y validación de la metodología de Evaluación de Impacto (MEI) a proyectos de investigación del IDEP. </t>
  </si>
  <si>
    <t>UNIVERSIDAD DIStRITAL</t>
  </si>
  <si>
    <t>VALOR CONVENIO</t>
  </si>
  <si>
    <t>VALOR TRANSFERENCIAS</t>
  </si>
  <si>
    <t>VALOR TOTAL</t>
  </si>
  <si>
    <t xml:space="preserve"> </t>
  </si>
  <si>
    <t>Servicios de eventos y ventas con tecnología S.A.S</t>
  </si>
  <si>
    <t>Firma Digital</t>
  </si>
  <si>
    <t>saldo</t>
  </si>
  <si>
    <t xml:space="preserve">Seguridad Electronica </t>
  </si>
  <si>
    <t>Gastos directos</t>
  </si>
  <si>
    <t>Camara de comercio</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</si>
  <si>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</si>
  <si>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</si>
  <si>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</si>
  <si>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</si>
  <si>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</si>
  <si>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</si>
  <si>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</si>
  <si>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</si>
  <si>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</si>
  <si>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</si>
  <si>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</si>
  <si>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</si>
  <si>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</si>
  <si>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</si>
  <si>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</si>
  <si>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</si>
  <si>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</si>
  <si>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Selección Abreviada Menor cuantía</t>
  </si>
  <si>
    <t>CCE-10</t>
  </si>
  <si>
    <t>CCE-05</t>
  </si>
  <si>
    <t>CCE- 6</t>
  </si>
  <si>
    <t xml:space="preserve"> Contratación Directa</t>
  </si>
  <si>
    <t>CCE-04</t>
  </si>
  <si>
    <t>CCE-02</t>
  </si>
  <si>
    <t>CCE-06</t>
  </si>
  <si>
    <t>CCE-07</t>
  </si>
  <si>
    <t>Subdirector Adminsitrativo Financiero</t>
  </si>
  <si>
    <t>octubre</t>
  </si>
  <si>
    <t>nbeltran@idep.edu.co</t>
  </si>
  <si>
    <t xml:space="preserve"> nbeltran@idep.edu.co</t>
  </si>
  <si>
    <t xml:space="preserve"> osanchez@idep.edu.co</t>
  </si>
  <si>
    <t xml:space="preserve"> lcorrea@idep.edu.co</t>
  </si>
  <si>
    <t xml:space="preserve">  lcorrea@idep.edu.co</t>
  </si>
  <si>
    <t>lcorrea@idep.edu.co</t>
  </si>
  <si>
    <t xml:space="preserve"> pleguizmon@idep.edu.co</t>
  </si>
  <si>
    <t>obonilla@idep.edu.co</t>
  </si>
  <si>
    <t>cplazas@idep.edu.co</t>
  </si>
  <si>
    <t xml:space="preserve"> ogomez@idep.edu.co</t>
  </si>
  <si>
    <t xml:space="preserve"> jpalacio@idep.edu.co</t>
  </si>
  <si>
    <t>jpalacio@idep.edu.co</t>
  </si>
  <si>
    <t xml:space="preserve">  jgutierrezs@idep.edu.co</t>
  </si>
  <si>
    <t>lacuña@idep.edu.co</t>
  </si>
  <si>
    <t xml:space="preserve"> mcuevas@idep.edu.co</t>
  </si>
  <si>
    <t xml:space="preserve"> mramirez@idep.edu.co</t>
  </si>
  <si>
    <t>dprada@idep.edu.co</t>
  </si>
  <si>
    <t xml:space="preserve"> dprada@idep.edu.co</t>
  </si>
  <si>
    <t xml:space="preserve"> jgutierrezs@idep.edu.co</t>
  </si>
  <si>
    <t xml:space="preserve"> eortiz@idep.edu.co</t>
  </si>
  <si>
    <t xml:space="preserve"> lacuña@idep.edu.co</t>
  </si>
  <si>
    <t>abustamante@idep.edu.co</t>
  </si>
  <si>
    <t xml:space="preserve"> abustamante@idep.edu.co</t>
  </si>
  <si>
    <t>eortiz@idep.edu.co</t>
  </si>
  <si>
    <t xml:space="preserve"> acortes@idep.edu.co</t>
  </si>
  <si>
    <t>mramirez@idep.edu.co</t>
  </si>
  <si>
    <t>mcuevas@idep.edu.co</t>
  </si>
  <si>
    <t xml:space="preserve"> adiaz@idep.edu.co</t>
  </si>
  <si>
    <t xml:space="preserve"> cplazas@idep.edu.co</t>
  </si>
  <si>
    <t>ogomez@idep.edu.co</t>
  </si>
  <si>
    <t>81112500;
81112200</t>
  </si>
  <si>
    <t>varios</t>
  </si>
  <si>
    <t xml:space="preserve"> olsanchez@idep.edu.co</t>
  </si>
  <si>
    <t xml:space="preserve"> adiazi@idep.edu.co</t>
  </si>
  <si>
    <t>CO-DC-11001</t>
  </si>
  <si>
    <t>CCE-99</t>
  </si>
  <si>
    <t>CCE- 10</t>
  </si>
  <si>
    <t>80111601;82111902;82111901</t>
  </si>
  <si>
    <t>OFICINA ASESORA JURÍDICA</t>
  </si>
  <si>
    <t>Prestación de servicio para realizar el mantenimiento preventivo y correctivo de archivadores rodantes y de madera que actualmente tiene el IDEP en servicio.</t>
  </si>
  <si>
    <t>MIGUEL MORENO FRANCO</t>
  </si>
  <si>
    <t>ANA MARIA ACERO CORTEZ</t>
  </si>
  <si>
    <t>MARGARITA VILLARRAGA GARCIA</t>
  </si>
  <si>
    <t>CLAUDIA PATRICIA MEJIA</t>
  </si>
  <si>
    <t>FECHA ESTIMADA</t>
  </si>
  <si>
    <t>LUGAR</t>
  </si>
  <si>
    <t>Publicación del Aviso en el SECOP y en la página web de la Entidad. (artículo 30 ley 80 de 1993)</t>
  </si>
  <si>
    <t>28 de junio de 2017</t>
  </si>
  <si>
    <t>Portal del SECOP www.contratos.gov.co y en la página web de la entidad.</t>
  </si>
  <si>
    <t>Publicación de los estudios previos, análisis del sector y proyecto de pliego de condiciones.</t>
  </si>
  <si>
    <t>Portal del SECOP www.contratos.gov.co</t>
  </si>
  <si>
    <t>Plazo para presentar observaciones al proyecto de Pliego</t>
  </si>
  <si>
    <t>Del 28 de junio al 13 de julio de 2017</t>
  </si>
  <si>
    <r>
      <t>Se recibirán en la ciudad de Bogotá D.C., en la Av. Calle 26 No. 69D-91 Centro Empresarial Arrecife, Torre Peatonal dos (2), Oficina 402A ventanilla de Correspondencia, o a los correos electrónicos: </t>
    </r>
    <r>
      <rPr>
        <sz val="6"/>
        <rFont val="Arial"/>
        <family val="2"/>
      </rPr>
      <t>adiazi@idep.edu.co</t>
    </r>
    <r>
      <rPr>
        <sz val="6"/>
        <color indexed="63"/>
        <rFont val="Arial"/>
        <family val="2"/>
      </rPr>
      <t> , drengifo@idep.edu.co</t>
    </r>
  </si>
  <si>
    <t>Respuestas a las preguntas y observaciones al Proyecto de pliego de Condiciones Definitivo</t>
  </si>
  <si>
    <t>17 de julio de 2017</t>
  </si>
  <si>
    <t>Se publicará el formulario de preguntas y respuestas en el Portal del SECOP www.contratos.gov.co</t>
  </si>
  <si>
    <t>Acto de Apertura del Proceso. Publicación del Pliego de Condiciones Definitivo.</t>
  </si>
  <si>
    <t>18 de julio de 2017</t>
  </si>
  <si>
    <t>Audiencia de Aclaración del Pliego de Condiciones y de Estimación, Distribución y Asignación de Riesgos Previsibles.</t>
  </si>
  <si>
    <t>24 de julio de 2017</t>
  </si>
  <si>
    <t>Av. Calle 26 No. 69D-91 Centro Empresarial Arrecife, Torre Peatonal dos (2), oficina 806</t>
  </si>
  <si>
    <t>Visita NO obligatoria</t>
  </si>
  <si>
    <t>24 de julio de 2017 desde 8:00 hasta las 16:00</t>
  </si>
  <si>
    <t>Ciudad de Bogotá D.C., en la Av. Calle 26 No. 69D-91 Centro Empresarial Arrecife, Torre Peatonal dos, Oficina 402B,  desde 8:00 hasta 16:00  (Oficina Asesora de Planeación)</t>
  </si>
  <si>
    <t>Observaciones al contenido del pliego de condiciones definitivo</t>
  </si>
  <si>
    <t>Del 18 al 26 de julio de 2017</t>
  </si>
  <si>
    <r>
      <t>Se recibirán en la ciudad de Bogotá D.C., en la Av. Calle 26 No. 69D-91 Centro Empresarial Arrecife, Torre Peatonal dos (2), Oficina 402A ventanilla de Correspondencia, o a los correos electrónicos: </t>
    </r>
    <r>
      <rPr>
        <sz val="6"/>
        <rFont val="Arial"/>
        <family val="2"/>
      </rPr>
      <t>adiazi@idep.edu.co</t>
    </r>
    <r>
      <rPr>
        <sz val="6"/>
        <color indexed="63"/>
        <rFont val="Arial"/>
        <family val="2"/>
      </rPr>
      <t>, </t>
    </r>
    <r>
      <rPr>
        <sz val="6"/>
        <rFont val="Arial"/>
        <family val="2"/>
      </rPr>
      <t>drengifo@idep.edu.co</t>
    </r>
  </si>
  <si>
    <t>Contestación de observaciones y preguntas del Pliego de Condiciones</t>
  </si>
  <si>
    <t>28 de julio de 2017</t>
  </si>
  <si>
    <t>Plazo máximo para expedir adendas</t>
  </si>
  <si>
    <t>Hasta el 31 de julio de 2017</t>
  </si>
  <si>
    <t>Cierre y presentación de las ofertas.</t>
  </si>
  <si>
    <t>4 de agosto de 2017 Hasta las 3:00 pm</t>
  </si>
  <si>
    <t>Se recibirán en la ciudad de Bogotá D.C., en la Av. Calle 26 No. 69D-91 Centro Empresarial Arrecife, Torre Peatonal dos (2), Oficina 402A ventanilla de Correspondencia, o recibidas a través de correo certificado, hasta la fecha y hora señalada para el cierre.</t>
  </si>
  <si>
    <t>Verificación y Evaluación de las propuestas</t>
  </si>
  <si>
    <t>Del 08 al 11 de agosto 2017</t>
  </si>
  <si>
    <t>Publicación del informe preliminar de verificación y evaluación de las propuestas</t>
  </si>
  <si>
    <t>14 de agosto de 2017</t>
  </si>
  <si>
    <t>Traslado del informe preliminar de verificación y evaluación de las propuestas y Recepción de Observaciones al Informe de Evaluación</t>
  </si>
  <si>
    <t>15 al 22 de agosto de 2017</t>
  </si>
  <si>
    <r>
      <t>Portal del SECOP </t>
    </r>
    <r>
      <rPr>
        <sz val="6"/>
        <rFont val="Arial"/>
        <family val="2"/>
      </rPr>
      <t>www.contratos.gov.co</t>
    </r>
    <r>
      <rPr>
        <sz val="6"/>
        <color indexed="63"/>
        <rFont val="Arial"/>
        <family val="2"/>
      </rPr>
      <t>. Las observaciones pueden ser presentadas mediante correo electrónico a: </t>
    </r>
    <r>
      <rPr>
        <sz val="6"/>
        <rFont val="Arial"/>
        <family val="2"/>
      </rPr>
      <t>adiazi@idep.edu.co</t>
    </r>
    <r>
      <rPr>
        <sz val="6"/>
        <color indexed="63"/>
        <rFont val="Arial"/>
        <family val="2"/>
      </rPr>
      <t> y/o en medio físico, radicándolas en la Oficina de correspondencia del IDEP  </t>
    </r>
  </si>
  <si>
    <t>Repuesta a las observaciones del informe de  Evaluación</t>
  </si>
  <si>
    <t>24 de agosto de 2017</t>
  </si>
  <si>
    <t>Portal del SECOP www.contratos.gov.co.</t>
  </si>
  <si>
    <t>Audiencia pública de adjudicación o declaratoria de desierta y  Publicación del informe definitivo</t>
  </si>
  <si>
    <t>25 de agosto de 2017 a las 10:00 am</t>
  </si>
  <si>
    <t>Celebración del contrato</t>
  </si>
  <si>
    <t>Dos (02) días hábiles siguientes a la adjudicación (28 -29 de agosto)</t>
  </si>
  <si>
    <t>Oficina Asesora Jurídica, ubicada en la Av Calle 26 No. 69D-91 Torre Peatonal 2, oficina 402B</t>
  </si>
  <si>
    <t>Cumplimiento de los requisitos de perfeccionamiento y ejecución del contrato</t>
  </si>
  <si>
    <t>En los tres (03) días hábiles siguientes a la firma del contrato</t>
  </si>
  <si>
    <t>máx. 1 de septiembre de 2017.</t>
  </si>
  <si>
    <t>Oficina Asesora Jurídica, ubicada en la Av Calle 26 No. 69D-91 Torre Peatonal 2, oficina 402B.</t>
  </si>
  <si>
    <t>Se publicará en el Portal del SECOP www.contratos.gov.co.</t>
  </si>
  <si>
    <t>Programado</t>
  </si>
  <si>
    <t>Ejecutado</t>
  </si>
  <si>
    <t>Estudio Sistema de seguimiento a la política educativa Distrital en los contextos escolares - Fase 2</t>
  </si>
  <si>
    <t>Estudio Educación y Polìticas Publicas: Sistema de Monitoreo de los Estándares de Calidad en Educación inicial</t>
  </si>
  <si>
    <t>Socialización y Divulgación:Componente 1</t>
  </si>
  <si>
    <t>%</t>
  </si>
  <si>
    <t>COMPONENTE No1</t>
  </si>
  <si>
    <t>Estudio de la  Estrategia de cualificación, investigación e innovación docente: comunidades de saber y de práctica pedagógica - Fase 2</t>
  </si>
  <si>
    <t>Socialización y Divulgación.Componente 2</t>
  </si>
  <si>
    <t>Documentación, información y memoria institucional componente 2</t>
  </si>
  <si>
    <t>COMPONENTE No2</t>
  </si>
  <si>
    <t>Sostenibilidad del SIG en el ámbito de los subsistemas de Calidad, Control Interno, Seguridad de la Información y Gestión Documental y Archivo</t>
  </si>
  <si>
    <t>FORTALECIMIENTO</t>
  </si>
  <si>
    <t>UNIVERSIDAD NACIONAL</t>
  </si>
  <si>
    <t>JOSE ORTIZ JIMENEZ</t>
  </si>
  <si>
    <t>ESPIRAL ASOCIADOS SAS</t>
  </si>
  <si>
    <t>HECTOR PINILLA SUAREZ</t>
  </si>
  <si>
    <t>PSICONSULTING S.A.S</t>
  </si>
  <si>
    <t>EDGAR MARTINEZ MORALES</t>
  </si>
  <si>
    <t>PAGOS DIRECTOS</t>
  </si>
  <si>
    <t>Contratación directa</t>
  </si>
  <si>
    <t>Adición No. 1 Prestación de servicios para apoyar en la actualización y consolidación del mapeo realizado por la SED y el IDEP en el  2016, para alimentar las aplicaciones de georeferenciación del IDECA (Mapas Bogotá y plataformas asociadas), que permitan visibilizar el resultado del mapeo de las experiencias de investigación, innovación educativa y redes pedagógicas de Bogotá, en el marco del Convenio 1452 de 2017 en su componente 4.</t>
  </si>
  <si>
    <t>septiembre</t>
  </si>
  <si>
    <t>CO-DC-11002</t>
  </si>
  <si>
    <t xml:space="preserve">SUMMIMAS S.A.S </t>
  </si>
  <si>
    <t>78102203.</t>
  </si>
  <si>
    <t>FUNCIONAMIENTO</t>
  </si>
  <si>
    <t>INVERSIÓN</t>
  </si>
  <si>
    <t>INVERSIÓN SIN R- ADMINISTRADOS</t>
  </si>
  <si>
    <t>Ejecución con corte al 02/10/2017</t>
  </si>
  <si>
    <t>Prestación de servicios para el suministro, instalación, configuración, soporte técnico y puesta en marcha de las licencias de seguridad perimetral Firewall Appliance de propósito específico.</t>
  </si>
  <si>
    <t>Adición 1. 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t>
  </si>
  <si>
    <t>Prestación de servicios para el Suministro, instalación, configuración, licenciamiento, soporte técnico y puesta en marcha de una solución tecnológica Hiperconvergente</t>
  </si>
  <si>
    <t xml:space="preserve"> 
Selección abreviada Subasta Inversa</t>
  </si>
  <si>
    <t>EDWIN DUQUE OLIVA</t>
  </si>
  <si>
    <t>Adición y prórroga 1 al Contrato 103 de 2016.  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</si>
  <si>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Subdirector Administrativo Financiero</t>
  </si>
  <si>
    <t>GEMPSA GESTIÓN EMPRESARIAL</t>
  </si>
  <si>
    <t>orden de aceptación 111</t>
  </si>
  <si>
    <t xml:space="preserve">Noviembre </t>
  </si>
  <si>
    <t>11/010/2017</t>
  </si>
  <si>
    <t>LA PREVISORA</t>
  </si>
  <si>
    <t>Aseguradora solidaria de colombia</t>
  </si>
  <si>
    <t>Ejecución con corte al 26/10/2017</t>
  </si>
  <si>
    <t>Compra de dotación  Integral (vestido y calzado de labor) para los funcionarios del IDEP,  que tienen derecho a ella por disposiciones de Ley para el año 2017 para el último periodo del año comprendidos entre septiembre y diciembre de 2017.</t>
  </si>
  <si>
    <t>Avanzar en 0,90 de un Diseño del Sistema de seguimiento a la política educativa distrital en los contextos escolares.</t>
  </si>
  <si>
    <t>Suministro de combustibles  (Gasolina y Gas vehicular), mediante el sistema electrónico de control (microchip) programable, llantas para los vehículos del Instituto para la Investigación Educativa y el Desarrollo Pedagógico – IDEP.</t>
  </si>
  <si>
    <t>Compraventa de papelería, útiles de escritorio y artículos de oficina para la Investigación Educativa y el Desarrollo Pedagógico - IDEP</t>
  </si>
  <si>
    <t>SADO</t>
  </si>
  <si>
    <t>NADIA JOHANA HERNANDEZ ORDOÑEZ</t>
  </si>
  <si>
    <t>IT SELL CON SEGURIDAD CONSULTORIA SOLUCIONES S.A.S</t>
  </si>
  <si>
    <t xml:space="preserve">15101500  25172504
</t>
  </si>
  <si>
    <t>Prestación de servicios  de soporte y actualización del sistema de información administrativo y financiero  del IDEP</t>
  </si>
  <si>
    <t>Prestación del servicio de un canal de Internet dedicado con reuso 1:1</t>
  </si>
  <si>
    <t>Prestación de servicios para el suministro, instalación, soporte técnico y puesta en marcha de un aire acondicionado para el cuarto de equipos de cómputo del IDEP.</t>
  </si>
  <si>
    <t>Adquisición de bonos de bienestar para los servidores públicos de planta del IDEP, y de navidad para sus hijos, en edades comprendidas entre los cero (0) a trece (13) años.</t>
  </si>
  <si>
    <t>60141000;
80111500</t>
  </si>
  <si>
    <t>Avanzar en 0,90 de un Diseño de la Estrategia de Cualilficación, investigación e Innovación docente: Comunidades de saber y de práctica pedagógica</t>
  </si>
  <si>
    <t>Estudio de la  Estrategia de cualificación, investigación e innovación docente: comunidades de saber y de práctica pedagógica- Fase 2</t>
  </si>
  <si>
    <t>Realizar tres (3) Estudios Escuela Curriculo y Pedagogía, Educación y políticas públicas y Cualificación docente , investigación e innovación docente:Comunidades de saber y de práctica pedagógica.</t>
  </si>
  <si>
    <t>Adición y prorroga No1 al contrato No 05 de 2017, Prestación del servicio de un canal de Internet dedicado con un ancho de banda de 20 Mbps</t>
  </si>
  <si>
    <t>Adición y prorroga No.1 al contrato No.90 de 2017 Prestación de servicios para apoyar el seguimiento a Planes     de mejoramiento, programas e Indicadores de la Subdirección Administrativa, Financiera y de Control Disciplinario</t>
  </si>
  <si>
    <t>Prestación de servicios para efectuar la suscripción para el uso de sevicios y licencias para el fortalecimiento de las actividades de comunicación, socialización y divulgación del IDEP</t>
  </si>
  <si>
    <t>IT GOP S.A.S</t>
  </si>
  <si>
    <t>MANUFACTURAS LA FE S.A.S</t>
  </si>
  <si>
    <t>E-VALUAR</t>
  </si>
  <si>
    <t>PAGOS</t>
  </si>
  <si>
    <t>Proveedores para sistemas y cia SAS</t>
  </si>
  <si>
    <t>SODEXO</t>
  </si>
  <si>
    <t>07/12/02017</t>
  </si>
  <si>
    <t>TELMEX</t>
  </si>
  <si>
    <t>Seguimiento a 19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</si>
</sst>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quot;$&quot;#,##0"/>
    <numFmt numFmtId="6" formatCode="&quot;$&quot;#,##0;[Red]\-&quot;$&quot;#,##0"/>
    <numFmt numFmtId="8" formatCode="&quot;$&quot;#,##0.00;[Red]\-&quot;$&quot;#,##0.00"/>
    <numFmt numFmtId="44" formatCode="_-&quot;$&quot;* #,##0.00_-;\-&quot;$&quot;* #,##0.00_-;_-&quot;$&quot;* &quot;-&quot;??_-;_-@_-"/>
    <numFmt numFmtId="43" formatCode="_-* #,##0.00_-;\-* #,##0.00_-;_-* &quot;-&quot;??_-;_-@_-"/>
    <numFmt numFmtId="164" formatCode="&quot;$&quot;\ #,##0_);[Red]\(&quot;$&quot;\ #,##0\)"/>
    <numFmt numFmtId="165" formatCode="&quot;$&quot;\ #,##0.00_);\(&quot;$&quot;\ #,##0.00\)"/>
    <numFmt numFmtId="166" formatCode="_(&quot;$&quot;\ * #,##0_);_(&quot;$&quot;\ * \(#,##0\);_(&quot;$&quot;\ * &quot;-&quot;_);_(@_)"/>
    <numFmt numFmtId="167" formatCode="_(&quot;$&quot;\ * #,##0.00_);_(&quot;$&quot;\ * \(#,##0.00\);_(&quot;$&quot;\ * &quot;-&quot;??_);_(@_)"/>
    <numFmt numFmtId="168" formatCode="_(* #,##0.00_);_(* \(#,##0.00\);_(* &quot;-&quot;??_);_(@_)"/>
    <numFmt numFmtId="169" formatCode="_(&quot;$ &quot;* #,##0_);_(&quot;$ &quot;* \(#,##0\);_(&quot;$ &quot;* \-_);_(@_)"/>
    <numFmt numFmtId="170" formatCode="_(* #,##0.00_);_(* \(#,##0.00\);_(* \-??_);_(@_)"/>
    <numFmt numFmtId="171" formatCode="_(* #,##0_);_(* \(#,##0\);_(* \-??_);_(@_)"/>
    <numFmt numFmtId="172" formatCode="&quot;$&quot;\ #,##0"/>
    <numFmt numFmtId="173" formatCode="_(&quot;$&quot;\ * #,##0_);_(&quot;$&quot;\ * \(#,##0\);_(&quot;$&quot;\ * &quot;-&quot;??_);_(@_)"/>
    <numFmt numFmtId="174" formatCode="_(* #,##0_);_(* \(#,##0\);_(* &quot;-&quot;??_);_(@_)"/>
    <numFmt numFmtId="175" formatCode="#,##0_ ;\-#,##0\ "/>
    <numFmt numFmtId="176" formatCode="_-&quot;$&quot;* #,##0_-;\-&quot;$&quot;* #,##0_-;_-&quot;$&quot;* &quot;-&quot;??_-;_-@"/>
    <numFmt numFmtId="177" formatCode="_-&quot;$&quot;* #,##0.00_-;\-&quot;$&quot;* #,##0.00_-;_-&quot;$&quot;* &quot;-&quot;??_-;_-@"/>
    <numFmt numFmtId="178" formatCode="_-* #,##0.00_-;\-* #,##0.00_-;_-* &quot;-&quot;??_-;_-@"/>
    <numFmt numFmtId="179" formatCode="_-&quot;$&quot;* #,##0_-;\-&quot;$&quot;* #,##0_-;_-&quot;$&quot;* &quot;-&quot;??_-;_-@_-"/>
    <numFmt numFmtId="180" formatCode="_(* #,##0.0_);_(* \(#,##0.0\);_(* \-??_);_(@_)"/>
  </numFmts>
  <fonts count="87" x14ac:knownFonts="1">
    <font>
      <sz val="11"/>
      <color indexed="63"/>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63"/>
      <name val="Calibri"/>
      <family val="2"/>
      <charset val="1"/>
    </font>
    <font>
      <sz val="10"/>
      <name val="Arial"/>
      <family val="2"/>
    </font>
    <font>
      <sz val="11"/>
      <color indexed="8"/>
      <name val="Calibri"/>
      <family val="2"/>
    </font>
    <font>
      <sz val="11"/>
      <color indexed="8"/>
      <name val="Arial"/>
      <family val="2"/>
    </font>
    <font>
      <sz val="9"/>
      <name val="Arial"/>
      <family val="2"/>
    </font>
    <font>
      <sz val="9"/>
      <color indexed="8"/>
      <name val="Arial"/>
      <family val="2"/>
    </font>
    <font>
      <sz val="9"/>
      <color indexed="81"/>
      <name val="Tahoma"/>
      <family val="2"/>
    </font>
    <font>
      <b/>
      <sz val="9"/>
      <color indexed="81"/>
      <name val="Tahoma"/>
      <family val="2"/>
    </font>
    <font>
      <sz val="9"/>
      <color rgb="FF000000"/>
      <name val="Arial"/>
      <family val="2"/>
    </font>
    <font>
      <b/>
      <sz val="9"/>
      <name val="Arial"/>
      <family val="2"/>
    </font>
    <font>
      <sz val="9"/>
      <color indexed="63"/>
      <name val="Arial"/>
      <family val="2"/>
    </font>
    <font>
      <b/>
      <sz val="9"/>
      <color rgb="FF000000"/>
      <name val="Arial"/>
      <family val="2"/>
    </font>
    <font>
      <b/>
      <sz val="9"/>
      <color indexed="8"/>
      <name val="Arial"/>
      <family val="2"/>
    </font>
    <font>
      <b/>
      <sz val="9"/>
      <color theme="1"/>
      <name val="Arial"/>
      <family val="2"/>
    </font>
    <font>
      <sz val="10"/>
      <color indexed="8"/>
      <name val="Arial"/>
      <family val="2"/>
    </font>
    <font>
      <b/>
      <sz val="10"/>
      <name val="Arial"/>
      <family val="2"/>
    </font>
    <font>
      <sz val="10"/>
      <color theme="1"/>
      <name val="Arial"/>
      <family val="2"/>
    </font>
    <font>
      <b/>
      <sz val="10"/>
      <color indexed="8"/>
      <name val="Arial"/>
      <family val="2"/>
    </font>
    <font>
      <b/>
      <sz val="8"/>
      <name val="Arial"/>
      <family val="2"/>
    </font>
    <font>
      <sz val="8"/>
      <name val="Arial"/>
      <family val="2"/>
    </font>
    <font>
      <sz val="8"/>
      <color indexed="8"/>
      <name val="Arial"/>
      <family val="2"/>
    </font>
    <font>
      <sz val="8"/>
      <color rgb="FF000000"/>
      <name val="Arial"/>
      <family val="2"/>
    </font>
    <font>
      <i/>
      <sz val="8"/>
      <color indexed="8"/>
      <name val="Arial"/>
      <family val="2"/>
    </font>
    <font>
      <sz val="9"/>
      <color theme="6" tint="-0.249977111117893"/>
      <name val="Arial"/>
      <family val="2"/>
    </font>
    <font>
      <sz val="8"/>
      <color indexed="63"/>
      <name val="Arial"/>
      <family val="2"/>
    </font>
    <font>
      <sz val="11"/>
      <color indexed="63"/>
      <name val="Arial"/>
      <family val="2"/>
    </font>
    <font>
      <b/>
      <sz val="8"/>
      <color indexed="8"/>
      <name val="Arial"/>
      <family val="2"/>
    </font>
    <font>
      <b/>
      <sz val="8"/>
      <color theme="1"/>
      <name val="Arial"/>
      <family val="2"/>
    </font>
    <font>
      <b/>
      <sz val="8"/>
      <color indexed="63"/>
      <name val="Arial"/>
      <family val="2"/>
    </font>
    <font>
      <b/>
      <sz val="11"/>
      <color indexed="63"/>
      <name val="Calibri"/>
      <family val="2"/>
    </font>
    <font>
      <sz val="11"/>
      <color indexed="63"/>
      <name val="Calibri"/>
      <family val="2"/>
    </font>
    <font>
      <b/>
      <sz val="11"/>
      <name val="Arial"/>
      <family val="2"/>
    </font>
    <font>
      <sz val="11"/>
      <name val="Arial"/>
      <family val="2"/>
    </font>
    <font>
      <b/>
      <sz val="7"/>
      <name val="Arial"/>
      <family val="2"/>
    </font>
    <font>
      <b/>
      <sz val="7"/>
      <color theme="1"/>
      <name val="Arial"/>
      <family val="2"/>
    </font>
    <font>
      <b/>
      <sz val="7"/>
      <color indexed="8"/>
      <name val="Arial"/>
      <family val="2"/>
    </font>
    <font>
      <b/>
      <sz val="7"/>
      <color indexed="63"/>
      <name val="Calibri"/>
      <family val="2"/>
      <charset val="1"/>
    </font>
    <font>
      <sz val="10"/>
      <name val="Calibri"/>
      <family val="2"/>
      <scheme val="minor"/>
    </font>
    <font>
      <b/>
      <sz val="11"/>
      <color indexed="8"/>
      <name val="Arial"/>
      <family val="2"/>
    </font>
    <font>
      <b/>
      <sz val="11"/>
      <color rgb="FF000000"/>
      <name val="Arial"/>
      <family val="2"/>
    </font>
    <font>
      <i/>
      <sz val="11"/>
      <color indexed="8"/>
      <name val="Arial"/>
      <family val="2"/>
    </font>
    <font>
      <sz val="11"/>
      <color rgb="FF000000"/>
      <name val="Arial"/>
      <family val="2"/>
    </font>
    <font>
      <sz val="12"/>
      <name val="Arial"/>
      <family val="2"/>
    </font>
    <font>
      <sz val="12"/>
      <color rgb="FF000000"/>
      <name val="Arial"/>
      <family val="2"/>
    </font>
    <font>
      <b/>
      <sz val="12"/>
      <color indexed="8"/>
      <name val="Arial"/>
      <family val="2"/>
    </font>
    <font>
      <b/>
      <sz val="12"/>
      <color rgb="FF000000"/>
      <name val="Arial"/>
      <family val="2"/>
    </font>
    <font>
      <b/>
      <sz val="12"/>
      <name val="Arial"/>
      <family val="2"/>
    </font>
    <font>
      <sz val="12"/>
      <color indexed="63"/>
      <name val="Arial"/>
      <family val="2"/>
    </font>
    <font>
      <b/>
      <sz val="10"/>
      <color theme="1"/>
      <name val="Arial"/>
      <family val="2"/>
    </font>
    <font>
      <b/>
      <sz val="10"/>
      <color theme="1"/>
      <name val="Verdana"/>
      <family val="2"/>
    </font>
    <font>
      <u/>
      <sz val="11"/>
      <color theme="10"/>
      <name val="Calibri"/>
      <family val="2"/>
      <charset val="1"/>
    </font>
    <font>
      <sz val="11"/>
      <name val="Calibri"/>
      <family val="2"/>
      <charset val="1"/>
    </font>
    <font>
      <b/>
      <sz val="6"/>
      <color indexed="63"/>
      <name val="Arial"/>
      <family val="2"/>
    </font>
    <font>
      <sz val="6"/>
      <color indexed="63"/>
      <name val="Arial"/>
      <family val="2"/>
    </font>
    <font>
      <sz val="6"/>
      <name val="Arial"/>
      <family val="2"/>
    </font>
    <font>
      <u/>
      <sz val="8"/>
      <color theme="10"/>
      <name val="Calibri"/>
      <family val="2"/>
      <charset val="1"/>
    </font>
    <font>
      <sz val="9"/>
      <color theme="1"/>
      <name val="Arial"/>
      <family val="2"/>
    </font>
    <font>
      <sz val="10"/>
      <color theme="1"/>
      <name val="Arial"/>
      <family val="2"/>
      <charset val="1"/>
    </font>
    <font>
      <sz val="12"/>
      <color theme="1"/>
      <name val="Arial"/>
      <family val="2"/>
    </font>
    <font>
      <sz val="12"/>
      <color indexed="8"/>
      <name val="Arial"/>
      <family val="2"/>
    </font>
    <font>
      <u/>
      <sz val="12"/>
      <color theme="10"/>
      <name val="Calibri"/>
      <family val="2"/>
      <charset val="1"/>
    </font>
    <font>
      <sz val="12"/>
      <color indexed="63"/>
      <name val="Calibri"/>
      <family val="2"/>
      <charset val="1"/>
    </font>
    <font>
      <sz val="12"/>
      <color rgb="FFFF0000"/>
      <name val="Arial"/>
      <family val="2"/>
    </font>
    <font>
      <sz val="12"/>
      <color theme="0"/>
      <name val="Arial"/>
      <family val="2"/>
    </font>
    <font>
      <b/>
      <sz val="11"/>
      <color theme="1"/>
      <name val="Arial"/>
      <family val="2"/>
    </font>
    <font>
      <sz val="11"/>
      <color theme="1"/>
      <name val="Arial"/>
      <family val="2"/>
    </font>
    <font>
      <b/>
      <sz val="11"/>
      <color indexed="63"/>
      <name val="Calibri"/>
      <family val="2"/>
      <charset val="1"/>
    </font>
    <font>
      <b/>
      <sz val="11"/>
      <color indexed="63"/>
      <name val="Arial"/>
      <family val="2"/>
    </font>
    <font>
      <sz val="11"/>
      <color theme="6" tint="-0.249977111117893"/>
      <name val="Arial"/>
      <family val="2"/>
    </font>
    <font>
      <sz val="11"/>
      <name val="Calibri"/>
      <family val="2"/>
      <scheme val="minor"/>
    </font>
    <font>
      <b/>
      <sz val="11"/>
      <color theme="6" tint="-0.249977111117893"/>
      <name val="Arial"/>
      <family val="2"/>
    </font>
    <font>
      <sz val="11"/>
      <color rgb="FFFF0000"/>
      <name val="Arial"/>
      <family val="2"/>
    </font>
    <font>
      <sz val="14"/>
      <color indexed="63"/>
      <name val="Calibri"/>
      <family val="2"/>
      <charset val="1"/>
    </font>
    <font>
      <b/>
      <sz val="14"/>
      <color indexed="63"/>
      <name val="Calibri"/>
      <family val="2"/>
      <charset val="1"/>
    </font>
  </fonts>
  <fills count="34">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92D050"/>
        <bgColor indexed="64"/>
      </patternFill>
    </fill>
    <fill>
      <patternFill patternType="solid">
        <fgColor theme="0"/>
        <bgColor rgb="FFFFFFFF"/>
      </patternFill>
    </fill>
    <fill>
      <patternFill patternType="solid">
        <fgColor theme="0"/>
        <bgColor indexed="22"/>
      </patternFill>
    </fill>
    <fill>
      <patternFill patternType="solid">
        <fgColor theme="0"/>
        <bgColor indexed="34"/>
      </patternFill>
    </fill>
    <fill>
      <patternFill patternType="solid">
        <fgColor rgb="FFFFFF00"/>
        <bgColor indexed="13"/>
      </patternFill>
    </fill>
    <fill>
      <patternFill patternType="solid">
        <fgColor rgb="FFFFC000"/>
        <bgColor indexed="22"/>
      </patternFill>
    </fill>
    <fill>
      <patternFill patternType="solid">
        <fgColor rgb="FFFFFF00"/>
        <bgColor indexed="64"/>
      </patternFill>
    </fill>
    <fill>
      <patternFill patternType="solid">
        <fgColor rgb="FFFFC000"/>
        <bgColor indexed="40"/>
      </patternFill>
    </fill>
    <fill>
      <patternFill patternType="solid">
        <fgColor rgb="FFFFC000"/>
        <bgColor indexed="64"/>
      </patternFill>
    </fill>
    <fill>
      <patternFill patternType="solid">
        <fgColor rgb="FFFFC000"/>
        <bgColor indexed="13"/>
      </patternFill>
    </fill>
    <fill>
      <patternFill patternType="solid">
        <fgColor rgb="FF92D050"/>
        <bgColor rgb="FFFFFFFF"/>
      </patternFill>
    </fill>
    <fill>
      <patternFill patternType="solid">
        <fgColor rgb="FFFFC000"/>
        <bgColor rgb="FFFFFF00"/>
      </patternFill>
    </fill>
    <fill>
      <patternFill patternType="solid">
        <fgColor rgb="FFFFFF00"/>
        <bgColor rgb="FFFFFF00"/>
      </patternFill>
    </fill>
    <fill>
      <patternFill patternType="solid">
        <fgColor rgb="FFFFC000"/>
        <bgColor rgb="FFFFFFFF"/>
      </patternFill>
    </fill>
    <fill>
      <patternFill patternType="solid">
        <fgColor theme="0" tint="-0.249977111117893"/>
        <bgColor indexed="64"/>
      </patternFill>
    </fill>
    <fill>
      <patternFill patternType="solid">
        <fgColor rgb="FFFFFF00"/>
        <bgColor indexed="34"/>
      </patternFill>
    </fill>
    <fill>
      <patternFill patternType="solid">
        <fgColor theme="0"/>
        <bgColor indexed="13"/>
      </patternFill>
    </fill>
    <fill>
      <patternFill patternType="solid">
        <fgColor rgb="FFFFFF00"/>
        <bgColor indexed="22"/>
      </patternFill>
    </fill>
    <fill>
      <patternFill patternType="solid">
        <fgColor indexed="9"/>
        <bgColor indexed="64"/>
      </patternFill>
    </fill>
    <fill>
      <patternFill patternType="solid">
        <fgColor theme="7" tint="0.59999389629810485"/>
        <bgColor indexed="64"/>
      </patternFill>
    </fill>
    <fill>
      <patternFill patternType="solid">
        <fgColor theme="0"/>
        <bgColor rgb="FFD7E4BD"/>
      </patternFill>
    </fill>
    <fill>
      <patternFill patternType="solid">
        <fgColor rgb="FF92D050"/>
        <bgColor indexed="13"/>
      </patternFill>
    </fill>
    <fill>
      <patternFill patternType="solid">
        <fgColor rgb="FF00B0F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92D050"/>
        <bgColor indexed="22"/>
      </patternFill>
    </fill>
    <fill>
      <patternFill patternType="solid">
        <fgColor rgb="FF808080"/>
        <bgColor indexed="64"/>
      </patternFill>
    </fill>
    <fill>
      <patternFill patternType="solid">
        <fgColor rgb="FFDBE5F1"/>
        <bgColor indexed="64"/>
      </patternFill>
    </fill>
    <fill>
      <patternFill patternType="solid">
        <fgColor theme="0"/>
        <bgColor indexed="23"/>
      </patternFill>
    </fill>
    <fill>
      <patternFill patternType="solid">
        <fgColor rgb="FFFFC000"/>
        <bgColor indexed="23"/>
      </patternFill>
    </fill>
  </fills>
  <borders count="5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2567">
    <xf numFmtId="0" fontId="0" fillId="0" borderId="0"/>
    <xf numFmtId="170" fontId="13" fillId="0" borderId="0"/>
    <xf numFmtId="44" fontId="13" fillId="0" borderId="0" applyFont="0" applyFill="0" applyBorder="0" applyAlignment="0" applyProtection="0"/>
    <xf numFmtId="169" fontId="13" fillId="0" borderId="0"/>
    <xf numFmtId="172" fontId="14" fillId="0" borderId="0" applyFont="0" applyFill="0" applyBorder="0" applyAlignment="0" applyProtection="0"/>
    <xf numFmtId="168" fontId="12"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1" fillId="0" borderId="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0" fillId="0" borderId="0"/>
    <xf numFmtId="167" fontId="10" fillId="0" borderId="0" applyFont="0" applyFill="0" applyBorder="0" applyAlignment="0" applyProtection="0"/>
    <xf numFmtId="168" fontId="10" fillId="0" borderId="0" applyFont="0" applyFill="0" applyBorder="0" applyAlignment="0" applyProtection="0"/>
    <xf numFmtId="167" fontId="10" fillId="0" borderId="0" applyFont="0" applyFill="0" applyBorder="0" applyAlignment="0" applyProtection="0"/>
    <xf numFmtId="172" fontId="13" fillId="0" borderId="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0" fontId="9" fillId="0" borderId="0"/>
    <xf numFmtId="0" fontId="14" fillId="0" borderId="0"/>
    <xf numFmtId="0" fontId="16" fillId="0" borderId="0"/>
    <xf numFmtId="0" fontId="9" fillId="0" borderId="0"/>
    <xf numFmtId="0" fontId="9" fillId="0" borderId="0"/>
    <xf numFmtId="0" fontId="9"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168" fontId="8"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168" fontId="7" fillId="0" borderId="0" applyFont="0" applyFill="0" applyBorder="0" applyAlignment="0" applyProtection="0"/>
    <xf numFmtId="166"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0" fontId="7" fillId="0" borderId="0"/>
    <xf numFmtId="167" fontId="7" fillId="0" borderId="0" applyFont="0" applyFill="0" applyBorder="0" applyAlignment="0" applyProtection="0"/>
    <xf numFmtId="168"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7" fillId="0" borderId="0"/>
    <xf numFmtId="168"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168"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168"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0" fontId="6" fillId="0" borderId="0"/>
    <xf numFmtId="168"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13" fillId="0" borderId="0"/>
    <xf numFmtId="168"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167"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8"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167"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8"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167"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8"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167"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8"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167"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8"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167"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8"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8"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8"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8"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168"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167"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5" fontId="1" fillId="0" borderId="0" applyFont="0" applyFill="0" applyBorder="0" applyAlignment="0" applyProtection="0"/>
    <xf numFmtId="0" fontId="1" fillId="0" borderId="0"/>
    <xf numFmtId="6" fontId="13" fillId="0" borderId="0"/>
    <xf numFmtId="0" fontId="1" fillId="0" borderId="0"/>
    <xf numFmtId="5" fontId="1" fillId="0" borderId="0" applyFont="0" applyFill="0" applyBorder="0" applyAlignment="0" applyProtection="0"/>
    <xf numFmtId="0" fontId="1" fillId="0" borderId="0"/>
    <xf numFmtId="6" fontId="13" fillId="0" borderId="0"/>
    <xf numFmtId="0" fontId="1" fillId="0" borderId="0"/>
    <xf numFmtId="5" fontId="1" fillId="0" borderId="0" applyFont="0" applyFill="0" applyBorder="0" applyAlignment="0" applyProtection="0"/>
    <xf numFmtId="0" fontId="1" fillId="0" borderId="0"/>
    <xf numFmtId="6" fontId="13" fillId="0" borderId="0"/>
    <xf numFmtId="0" fontId="1" fillId="0" borderId="0"/>
    <xf numFmtId="0" fontId="1" fillId="0" borderId="0"/>
    <xf numFmtId="5" fontId="1" fillId="0" borderId="0" applyFont="0" applyFill="0" applyBorder="0" applyAlignment="0" applyProtection="0"/>
    <xf numFmtId="8" fontId="13" fillId="0" borderId="0"/>
    <xf numFmtId="0" fontId="1" fillId="0" borderId="0"/>
    <xf numFmtId="167" fontId="1" fillId="0" borderId="0" applyFont="0" applyFill="0" applyBorder="0" applyAlignment="0" applyProtection="0"/>
    <xf numFmtId="9" fontId="13" fillId="0" borderId="0" applyFont="0" applyFill="0" applyBorder="0" applyAlignment="0" applyProtection="0"/>
    <xf numFmtId="0" fontId="62" fillId="30" borderId="34" applyNumberFormat="0" applyProtection="0">
      <alignment horizontal="left" vertical="center" wrapText="1"/>
    </xf>
    <xf numFmtId="0" fontId="62" fillId="31" borderId="0" applyNumberFormat="0" applyBorder="0" applyProtection="0">
      <alignment horizontal="center" vertical="center"/>
    </xf>
    <xf numFmtId="0" fontId="63" fillId="0" borderId="0" applyNumberFormat="0" applyFill="0" applyBorder="0" applyAlignment="0" applyProtection="0"/>
  </cellStyleXfs>
  <cellXfs count="1162">
    <xf numFmtId="0" fontId="0" fillId="0" borderId="0" xfId="0"/>
    <xf numFmtId="0" fontId="0" fillId="0" borderId="34" xfId="0" applyBorder="1" applyAlignment="1">
      <alignment wrapText="1"/>
    </xf>
    <xf numFmtId="14" fontId="0" fillId="0" borderId="34" xfId="0" applyNumberFormat="1" applyBorder="1" applyAlignment="1">
      <alignment wrapText="1"/>
    </xf>
    <xf numFmtId="14" fontId="0" fillId="0" borderId="34" xfId="0" applyNumberFormat="1" applyBorder="1"/>
    <xf numFmtId="0" fontId="0" fillId="0" borderId="34" xfId="0" applyBorder="1"/>
    <xf numFmtId="170" fontId="13" fillId="0" borderId="0" xfId="1"/>
    <xf numFmtId="0" fontId="0" fillId="0" borderId="0" xfId="0"/>
    <xf numFmtId="0" fontId="21" fillId="3" borderId="0" xfId="0" applyFont="1" applyFill="1" applyBorder="1" applyAlignment="1">
      <alignment vertical="center"/>
    </xf>
    <xf numFmtId="169" fontId="21" fillId="3" borderId="5" xfId="0" applyNumberFormat="1" applyFont="1" applyFill="1" applyBorder="1" applyAlignment="1">
      <alignment vertical="center"/>
    </xf>
    <xf numFmtId="169" fontId="21" fillId="3" borderId="6" xfId="0" applyNumberFormat="1" applyFont="1" applyFill="1" applyBorder="1" applyAlignment="1">
      <alignment vertical="center"/>
    </xf>
    <xf numFmtId="0" fontId="24" fillId="3" borderId="6" xfId="0" applyFont="1" applyFill="1" applyBorder="1" applyAlignment="1">
      <alignment vertical="center"/>
    </xf>
    <xf numFmtId="0" fontId="24" fillId="3" borderId="0" xfId="0" applyFont="1" applyFill="1" applyBorder="1" applyAlignment="1">
      <alignment horizontal="center" vertical="center"/>
    </xf>
    <xf numFmtId="169" fontId="24" fillId="3" borderId="6" xfId="0" applyNumberFormat="1" applyFont="1" applyFill="1" applyBorder="1" applyAlignment="1">
      <alignment horizontal="center" vertical="center"/>
    </xf>
    <xf numFmtId="169" fontId="21" fillId="3" borderId="0" xfId="0" applyNumberFormat="1" applyFont="1" applyFill="1" applyBorder="1" applyAlignment="1">
      <alignment vertical="center"/>
    </xf>
    <xf numFmtId="0" fontId="21" fillId="3" borderId="0" xfId="0" applyFont="1" applyFill="1" applyBorder="1" applyAlignment="1">
      <alignment horizontal="center" vertical="center"/>
    </xf>
    <xf numFmtId="0" fontId="21" fillId="3" borderId="36" xfId="0" applyFont="1" applyFill="1" applyBorder="1" applyAlignment="1">
      <alignment horizontal="center" vertical="center"/>
    </xf>
    <xf numFmtId="0" fontId="21" fillId="3" borderId="38" xfId="0" applyFont="1" applyFill="1" applyBorder="1" applyAlignment="1">
      <alignment horizontal="left" vertical="center"/>
    </xf>
    <xf numFmtId="0" fontId="17" fillId="2" borderId="34" xfId="652" applyFont="1" applyFill="1" applyBorder="1" applyAlignment="1">
      <alignment horizontal="center" vertical="center" wrapText="1"/>
    </xf>
    <xf numFmtId="169" fontId="18" fillId="2" borderId="34" xfId="0" applyNumberFormat="1" applyFont="1" applyFill="1" applyBorder="1" applyAlignment="1">
      <alignment horizontal="center" vertical="center" wrapText="1"/>
    </xf>
    <xf numFmtId="0" fontId="17" fillId="2" borderId="34" xfId="652" applyFont="1" applyFill="1" applyBorder="1" applyAlignment="1">
      <alignment horizontal="center" vertical="center"/>
    </xf>
    <xf numFmtId="0" fontId="17" fillId="2" borderId="34" xfId="0" applyFont="1" applyFill="1" applyBorder="1" applyAlignment="1">
      <alignment horizontal="center" vertical="center" wrapText="1"/>
    </xf>
    <xf numFmtId="0" fontId="25" fillId="8" borderId="36" xfId="0" applyFont="1" applyFill="1" applyBorder="1" applyAlignment="1">
      <alignment vertical="center" wrapText="1"/>
    </xf>
    <xf numFmtId="0" fontId="25" fillId="8" borderId="38" xfId="0" applyFont="1" applyFill="1" applyBorder="1" applyAlignment="1">
      <alignment vertical="center" wrapText="1"/>
    </xf>
    <xf numFmtId="0" fontId="25" fillId="9" borderId="36" xfId="0" applyFont="1" applyFill="1" applyBorder="1" applyAlignment="1">
      <alignment vertical="center" wrapText="1"/>
    </xf>
    <xf numFmtId="0" fontId="25" fillId="9" borderId="38" xfId="0" applyFont="1" applyFill="1" applyBorder="1" applyAlignment="1">
      <alignment vertical="center" wrapText="1"/>
    </xf>
    <xf numFmtId="169" fontId="18" fillId="6" borderId="34" xfId="0" applyNumberFormat="1" applyFont="1" applyFill="1" applyBorder="1" applyAlignment="1">
      <alignment horizontal="center" vertical="center" wrapText="1"/>
    </xf>
    <xf numFmtId="1" fontId="18" fillId="6" borderId="34" xfId="0" applyNumberFormat="1" applyFont="1" applyFill="1" applyBorder="1" applyAlignment="1">
      <alignment horizontal="center" vertical="center" wrapText="1"/>
    </xf>
    <xf numFmtId="169" fontId="17" fillId="6" borderId="34" xfId="0" applyNumberFormat="1" applyFont="1" applyFill="1" applyBorder="1" applyAlignment="1">
      <alignment horizontal="center" vertical="center" wrapText="1"/>
    </xf>
    <xf numFmtId="169" fontId="17" fillId="2" borderId="34" xfId="0" applyNumberFormat="1" applyFont="1" applyFill="1" applyBorder="1" applyAlignment="1">
      <alignment horizontal="center" vertical="center" wrapText="1"/>
    </xf>
    <xf numFmtId="0" fontId="17" fillId="22" borderId="34" xfId="0" applyFont="1" applyFill="1" applyBorder="1" applyAlignment="1">
      <alignment horizontal="center" vertical="center" wrapText="1"/>
    </xf>
    <xf numFmtId="0" fontId="17" fillId="0" borderId="34" xfId="652" applyFont="1" applyFill="1" applyBorder="1" applyAlignment="1">
      <alignment horizontal="center" vertical="center" wrapText="1"/>
    </xf>
    <xf numFmtId="169" fontId="18" fillId="21" borderId="34" xfId="0" applyNumberFormat="1"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652" applyFont="1" applyFill="1" applyBorder="1" applyAlignment="1">
      <alignment horizontal="center" vertical="center"/>
    </xf>
    <xf numFmtId="0" fontId="18" fillId="20" borderId="34" xfId="0" applyFont="1" applyFill="1" applyBorder="1" applyAlignment="1">
      <alignment horizontal="center" vertical="center" wrapText="1"/>
    </xf>
    <xf numFmtId="179" fontId="17" fillId="2" borderId="34" xfId="653" applyNumberFormat="1" applyFont="1" applyFill="1" applyBorder="1" applyAlignment="1">
      <alignment horizontal="center" vertical="center" wrapText="1"/>
    </xf>
    <xf numFmtId="179" fontId="21" fillId="0" borderId="34" xfId="653" applyNumberFormat="1" applyFont="1" applyFill="1" applyBorder="1" applyAlignment="1">
      <alignment horizontal="center" vertical="center" wrapText="1"/>
    </xf>
    <xf numFmtId="169" fontId="17" fillId="0" borderId="34" xfId="0" applyNumberFormat="1" applyFont="1" applyFill="1" applyBorder="1" applyAlignment="1">
      <alignment horizontal="center" vertical="center" wrapText="1"/>
    </xf>
    <xf numFmtId="179" fontId="21" fillId="2" borderId="34" xfId="653" applyNumberFormat="1" applyFont="1" applyFill="1" applyBorder="1" applyAlignment="1">
      <alignment horizontal="center" vertical="center" wrapText="1"/>
    </xf>
    <xf numFmtId="0" fontId="21" fillId="2" borderId="34" xfId="0" applyFont="1" applyFill="1" applyBorder="1" applyAlignment="1">
      <alignment horizontal="left" vertical="center" wrapText="1"/>
    </xf>
    <xf numFmtId="17" fontId="17" fillId="0" borderId="34" xfId="1282" applyNumberFormat="1" applyFont="1" applyFill="1" applyBorder="1" applyAlignment="1">
      <alignment horizontal="center" vertical="center"/>
    </xf>
    <xf numFmtId="0" fontId="17" fillId="0" borderId="34" xfId="1282" applyFont="1" applyFill="1" applyBorder="1" applyAlignment="1">
      <alignment horizontal="center" vertical="center"/>
    </xf>
    <xf numFmtId="0" fontId="17" fillId="2" borderId="34" xfId="1136" applyFont="1" applyFill="1" applyBorder="1" applyAlignment="1">
      <alignment horizontal="center" vertical="center" wrapText="1"/>
    </xf>
    <xf numFmtId="17" fontId="17" fillId="2" borderId="34" xfId="1282" applyNumberFormat="1" applyFont="1" applyFill="1" applyBorder="1" applyAlignment="1">
      <alignment horizontal="center" vertical="center"/>
    </xf>
    <xf numFmtId="0" fontId="17" fillId="2" borderId="34" xfId="1282" applyFont="1" applyFill="1" applyBorder="1" applyAlignment="1">
      <alignment horizontal="center" vertical="center"/>
    </xf>
    <xf numFmtId="0" fontId="21" fillId="0" borderId="34" xfId="0" applyFont="1" applyFill="1" applyBorder="1" applyAlignment="1">
      <alignment horizontal="left" vertical="center" wrapText="1"/>
    </xf>
    <xf numFmtId="14" fontId="17" fillId="2" borderId="34" xfId="1136" applyNumberFormat="1" applyFont="1" applyFill="1" applyBorder="1" applyAlignment="1">
      <alignment horizontal="center" vertical="center" wrapText="1"/>
    </xf>
    <xf numFmtId="0" fontId="21" fillId="2" borderId="34" xfId="0" applyFont="1" applyFill="1" applyBorder="1" applyAlignment="1">
      <alignment vertical="center" wrapText="1"/>
    </xf>
    <xf numFmtId="0" fontId="18" fillId="2" borderId="0" xfId="0" applyFont="1" applyFill="1" applyAlignment="1">
      <alignment vertical="center"/>
    </xf>
    <xf numFmtId="0" fontId="23" fillId="0" borderId="0" xfId="0" applyFont="1" applyAlignment="1">
      <alignment horizontal="justify" vertical="justify"/>
    </xf>
    <xf numFmtId="169" fontId="26" fillId="0" borderId="0" xfId="3" applyNumberFormat="1" applyFont="1" applyBorder="1" applyAlignment="1" applyProtection="1">
      <alignment vertical="center"/>
    </xf>
    <xf numFmtId="0" fontId="23" fillId="0" borderId="0" xfId="0" applyFont="1"/>
    <xf numFmtId="172" fontId="32" fillId="4" borderId="37" xfId="0" applyNumberFormat="1" applyFont="1" applyFill="1" applyBorder="1" applyAlignment="1">
      <alignment vertical="center" wrapText="1"/>
    </xf>
    <xf numFmtId="174" fontId="14" fillId="10" borderId="37" xfId="1" applyNumberFormat="1" applyFont="1" applyFill="1" applyBorder="1" applyAlignment="1">
      <alignment vertical="center" wrapText="1" readingOrder="1"/>
    </xf>
    <xf numFmtId="174" fontId="27" fillId="10" borderId="37" xfId="1" applyNumberFormat="1" applyFont="1" applyFill="1" applyBorder="1" applyAlignment="1">
      <alignment vertical="center" wrapText="1"/>
    </xf>
    <xf numFmtId="172" fontId="14" fillId="10" borderId="37" xfId="0" applyNumberFormat="1" applyFont="1" applyFill="1" applyBorder="1" applyAlignment="1">
      <alignment vertical="center" wrapText="1"/>
    </xf>
    <xf numFmtId="0" fontId="29" fillId="10" borderId="37" xfId="0" applyFont="1" applyFill="1" applyBorder="1" applyAlignment="1">
      <alignment vertical="center"/>
    </xf>
    <xf numFmtId="0" fontId="29" fillId="10" borderId="37" xfId="0" applyFont="1" applyFill="1" applyBorder="1" applyAlignment="1">
      <alignment vertical="center" wrapText="1"/>
    </xf>
    <xf numFmtId="174" fontId="32" fillId="10" borderId="37" xfId="1" applyNumberFormat="1" applyFont="1" applyFill="1" applyBorder="1" applyAlignment="1">
      <alignment horizontal="center" vertical="center" wrapText="1"/>
    </xf>
    <xf numFmtId="0" fontId="33" fillId="6" borderId="37" xfId="0" applyFont="1" applyFill="1" applyBorder="1" applyAlignment="1">
      <alignment horizontal="center" vertical="center" wrapText="1"/>
    </xf>
    <xf numFmtId="0" fontId="33" fillId="6" borderId="34" xfId="0" applyFont="1" applyFill="1" applyBorder="1" applyAlignment="1">
      <alignment horizontal="center" vertical="center" wrapText="1"/>
    </xf>
    <xf numFmtId="0" fontId="33" fillId="20" borderId="37" xfId="0" applyFont="1" applyFill="1" applyBorder="1" applyAlignment="1">
      <alignment horizontal="center" vertical="center" wrapText="1"/>
    </xf>
    <xf numFmtId="0" fontId="34" fillId="3" borderId="34" xfId="0" applyFont="1" applyFill="1" applyBorder="1" applyAlignment="1">
      <alignment horizontal="center" vertical="center" wrapText="1"/>
    </xf>
    <xf numFmtId="0" fontId="18" fillId="20" borderId="34" xfId="0" applyFont="1" applyFill="1" applyBorder="1" applyAlignment="1">
      <alignment horizontal="left" vertical="center" wrapText="1"/>
    </xf>
    <xf numFmtId="0" fontId="18" fillId="0" borderId="34" xfId="0" applyFont="1" applyFill="1" applyBorder="1" applyAlignment="1">
      <alignment horizontal="center" vertical="center" wrapText="1"/>
    </xf>
    <xf numFmtId="172" fontId="32" fillId="4" borderId="37" xfId="0" applyNumberFormat="1" applyFont="1" applyFill="1" applyBorder="1" applyAlignment="1">
      <alignment horizontal="center" vertical="center" wrapText="1"/>
    </xf>
    <xf numFmtId="0" fontId="32" fillId="4" borderId="37" xfId="0" applyFont="1" applyFill="1" applyBorder="1" applyAlignment="1">
      <alignment horizontal="center" vertical="center" wrapText="1"/>
    </xf>
    <xf numFmtId="174" fontId="14" fillId="10" borderId="37" xfId="1" applyNumberFormat="1" applyFont="1" applyFill="1" applyBorder="1" applyAlignment="1">
      <alignment horizontal="center" vertical="center" wrapText="1" readingOrder="1"/>
    </xf>
    <xf numFmtId="0" fontId="17" fillId="6" borderId="34" xfId="0" applyFont="1" applyFill="1" applyBorder="1" applyAlignment="1">
      <alignment horizontal="center" vertical="center" wrapText="1"/>
    </xf>
    <xf numFmtId="0" fontId="18" fillId="2" borderId="34" xfId="0" applyFont="1" applyFill="1" applyBorder="1" applyAlignment="1">
      <alignment horizontal="center" vertical="center" wrapText="1"/>
    </xf>
    <xf numFmtId="171" fontId="13" fillId="0" borderId="0" xfId="1" applyNumberFormat="1"/>
    <xf numFmtId="0" fontId="0" fillId="10" borderId="0" xfId="0" applyFill="1" applyAlignment="1">
      <alignment horizontal="center" vertical="center"/>
    </xf>
    <xf numFmtId="0" fontId="17" fillId="6" borderId="37" xfId="0" applyFont="1" applyFill="1" applyBorder="1" applyAlignment="1">
      <alignment vertical="center" wrapText="1"/>
    </xf>
    <xf numFmtId="0" fontId="24" fillId="3" borderId="0" xfId="0" applyFont="1" applyFill="1" applyBorder="1" applyAlignment="1">
      <alignment vertical="center"/>
    </xf>
    <xf numFmtId="172" fontId="31" fillId="4" borderId="34" xfId="0" applyNumberFormat="1"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5" fillId="6" borderId="37" xfId="0" applyFont="1" applyFill="1" applyBorder="1" applyAlignment="1">
      <alignment horizontal="center" vertical="center" wrapText="1"/>
    </xf>
    <xf numFmtId="0" fontId="35" fillId="6" borderId="34" xfId="0" applyFont="1" applyFill="1" applyBorder="1" applyAlignment="1">
      <alignment horizontal="center" vertical="center" wrapText="1"/>
    </xf>
    <xf numFmtId="171" fontId="34" fillId="3" borderId="37" xfId="0" applyNumberFormat="1" applyFont="1" applyFill="1" applyBorder="1" applyAlignment="1">
      <alignment horizontal="center" vertical="center" wrapText="1"/>
    </xf>
    <xf numFmtId="0" fontId="32" fillId="0" borderId="37" xfId="0" applyFont="1" applyFill="1" applyBorder="1" applyAlignment="1">
      <alignment horizontal="center" vertical="center" wrapText="1"/>
    </xf>
    <xf numFmtId="171" fontId="13" fillId="0" borderId="34" xfId="1" applyNumberFormat="1" applyBorder="1"/>
    <xf numFmtId="172" fontId="31" fillId="4" borderId="37" xfId="0" applyNumberFormat="1" applyFont="1" applyFill="1" applyBorder="1" applyAlignment="1">
      <alignment vertical="center" wrapText="1"/>
    </xf>
    <xf numFmtId="0" fontId="0" fillId="10" borderId="34" xfId="0" applyFill="1" applyBorder="1" applyAlignment="1">
      <alignment wrapText="1"/>
    </xf>
    <xf numFmtId="0" fontId="0" fillId="2" borderId="34" xfId="0" applyFill="1" applyBorder="1" applyAlignment="1">
      <alignment wrapText="1"/>
    </xf>
    <xf numFmtId="3" fontId="28" fillId="0" borderId="34" xfId="0" applyNumberFormat="1"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7" fillId="2" borderId="37" xfId="652" applyFont="1" applyFill="1" applyBorder="1" applyAlignment="1">
      <alignment horizontal="center" vertical="center"/>
    </xf>
    <xf numFmtId="3" fontId="28" fillId="2" borderId="34" xfId="0" applyNumberFormat="1" applyFont="1" applyFill="1" applyBorder="1" applyAlignment="1">
      <alignment horizontal="center" vertical="center" wrapText="1"/>
    </xf>
    <xf numFmtId="0" fontId="14" fillId="6" borderId="37" xfId="0" applyFont="1" applyFill="1" applyBorder="1" applyAlignment="1">
      <alignment vertical="center" wrapText="1"/>
    </xf>
    <xf numFmtId="1" fontId="18" fillId="2" borderId="34" xfId="0" applyNumberFormat="1" applyFont="1" applyFill="1" applyBorder="1" applyAlignment="1">
      <alignment horizontal="center" vertical="center" wrapText="1"/>
    </xf>
    <xf numFmtId="0" fontId="0" fillId="2" borderId="0" xfId="0" applyFill="1"/>
    <xf numFmtId="179" fontId="36" fillId="2" borderId="34" xfId="653" applyNumberFormat="1" applyFont="1" applyFill="1" applyBorder="1" applyAlignment="1">
      <alignment horizontal="center" vertical="center" wrapText="1"/>
    </xf>
    <xf numFmtId="0" fontId="17" fillId="6" borderId="37"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32" fillId="2" borderId="34" xfId="15" applyFont="1" applyFill="1" applyBorder="1" applyAlignment="1">
      <alignment horizontal="left" vertical="center" wrapText="1"/>
    </xf>
    <xf numFmtId="0" fontId="17" fillId="2" borderId="34" xfId="15" applyFont="1" applyFill="1" applyBorder="1" applyAlignment="1">
      <alignment horizontal="center" vertical="center" wrapText="1"/>
    </xf>
    <xf numFmtId="0" fontId="37" fillId="0" borderId="34" xfId="0" applyFont="1" applyBorder="1" applyAlignment="1">
      <alignment horizontal="center" vertical="center"/>
    </xf>
    <xf numFmtId="0" fontId="37" fillId="0" borderId="34" xfId="0" applyFont="1" applyBorder="1" applyAlignment="1">
      <alignment horizontal="left" vertical="center" wrapText="1"/>
    </xf>
    <xf numFmtId="0" fontId="37" fillId="0" borderId="34" xfId="0" applyFont="1" applyBorder="1" applyAlignment="1">
      <alignment horizontal="center" vertical="center" wrapText="1"/>
    </xf>
    <xf numFmtId="0" fontId="37" fillId="2" borderId="34" xfId="0" applyFont="1" applyFill="1" applyBorder="1" applyAlignment="1">
      <alignment horizontal="center" vertical="center"/>
    </xf>
    <xf numFmtId="171" fontId="38" fillId="0" borderId="34" xfId="1" applyNumberFormat="1" applyFont="1" applyBorder="1" applyAlignment="1">
      <alignment vertical="center"/>
    </xf>
    <xf numFmtId="0" fontId="37" fillId="2" borderId="34" xfId="0" applyFont="1" applyFill="1" applyBorder="1" applyAlignment="1">
      <alignment horizontal="center" vertical="center" wrapText="1"/>
    </xf>
    <xf numFmtId="170" fontId="38" fillId="2" borderId="0" xfId="1" applyFont="1" applyFill="1"/>
    <xf numFmtId="0" fontId="37" fillId="26" borderId="34" xfId="0" applyFont="1" applyFill="1" applyBorder="1" applyAlignment="1">
      <alignment horizontal="center" vertical="center"/>
    </xf>
    <xf numFmtId="0" fontId="37" fillId="0" borderId="37" xfId="0" applyFont="1" applyBorder="1" applyAlignment="1">
      <alignment horizontal="center" vertical="center" wrapText="1"/>
    </xf>
    <xf numFmtId="171" fontId="37" fillId="0" borderId="34" xfId="0" applyNumberFormat="1" applyFont="1" applyBorder="1" applyAlignment="1">
      <alignment horizontal="center" vertical="center"/>
    </xf>
    <xf numFmtId="14" fontId="37" fillId="0" borderId="34" xfId="0" applyNumberFormat="1" applyFont="1" applyBorder="1" applyAlignment="1">
      <alignment horizontal="left" vertical="center" wrapText="1"/>
    </xf>
    <xf numFmtId="171" fontId="37" fillId="0" borderId="34" xfId="1" applyNumberFormat="1" applyFont="1" applyBorder="1" applyAlignment="1">
      <alignment horizontal="center" vertical="center"/>
    </xf>
    <xf numFmtId="0" fontId="37" fillId="0" borderId="34" xfId="0" applyFont="1" applyBorder="1" applyAlignment="1">
      <alignment vertical="center" wrapText="1"/>
    </xf>
    <xf numFmtId="0" fontId="37" fillId="2" borderId="34" xfId="0" applyFont="1" applyFill="1" applyBorder="1" applyAlignment="1">
      <alignment vertical="center" wrapText="1"/>
    </xf>
    <xf numFmtId="174" fontId="31" fillId="10" borderId="37" xfId="1" applyNumberFormat="1" applyFont="1" applyFill="1" applyBorder="1" applyAlignment="1">
      <alignment horizontal="center" vertical="center" wrapText="1"/>
    </xf>
    <xf numFmtId="174" fontId="31" fillId="10" borderId="34" xfId="1" applyNumberFormat="1" applyFont="1" applyFill="1" applyBorder="1" applyAlignment="1">
      <alignment horizontal="center" vertical="center" wrapText="1"/>
    </xf>
    <xf numFmtId="174" fontId="39" fillId="10" borderId="34" xfId="1" applyNumberFormat="1" applyFont="1" applyFill="1" applyBorder="1" applyAlignment="1">
      <alignment horizontal="center" vertical="center" wrapText="1"/>
    </xf>
    <xf numFmtId="172" fontId="31" fillId="10" borderId="34" xfId="0" applyNumberFormat="1" applyFont="1" applyFill="1" applyBorder="1" applyAlignment="1">
      <alignment horizontal="center" vertical="center" wrapText="1"/>
    </xf>
    <xf numFmtId="0" fontId="40" fillId="10" borderId="34" xfId="0" applyFont="1" applyFill="1" applyBorder="1" applyAlignment="1">
      <alignment horizontal="center" vertical="center"/>
    </xf>
    <xf numFmtId="0" fontId="40" fillId="10" borderId="34" xfId="0" applyFont="1" applyFill="1" applyBorder="1" applyAlignment="1">
      <alignment horizontal="center" vertical="center" wrapText="1"/>
    </xf>
    <xf numFmtId="0" fontId="31" fillId="4" borderId="34" xfId="0" applyFont="1" applyFill="1" applyBorder="1" applyAlignment="1">
      <alignment horizontal="center" vertical="center" wrapText="1"/>
    </xf>
    <xf numFmtId="0" fontId="0" fillId="0" borderId="37" xfId="0" applyBorder="1" applyAlignment="1">
      <alignment wrapText="1"/>
    </xf>
    <xf numFmtId="179" fontId="17" fillId="0" borderId="34" xfId="653" applyNumberFormat="1" applyFont="1" applyFill="1" applyBorder="1" applyAlignment="1">
      <alignment horizontal="center" vertical="center" wrapText="1"/>
    </xf>
    <xf numFmtId="171" fontId="41" fillId="0" borderId="34" xfId="0" applyNumberFormat="1" applyFont="1" applyBorder="1" applyAlignment="1">
      <alignment horizontal="center" vertical="center"/>
    </xf>
    <xf numFmtId="171" fontId="42" fillId="0" borderId="34" xfId="0" applyNumberFormat="1" applyFont="1" applyBorder="1"/>
    <xf numFmtId="171" fontId="13" fillId="10" borderId="34" xfId="1" applyNumberFormat="1" applyFill="1" applyBorder="1"/>
    <xf numFmtId="171" fontId="0" fillId="0" borderId="0" xfId="0" applyNumberFormat="1"/>
    <xf numFmtId="3" fontId="37" fillId="0" borderId="34" xfId="0" applyNumberFormat="1" applyFont="1" applyBorder="1" applyAlignment="1">
      <alignment horizontal="center" vertical="center"/>
    </xf>
    <xf numFmtId="170" fontId="0" fillId="0" borderId="0" xfId="0" applyNumberFormat="1"/>
    <xf numFmtId="179" fontId="0" fillId="0" borderId="0" xfId="0" applyNumberFormat="1"/>
    <xf numFmtId="179" fontId="0" fillId="0" borderId="34" xfId="2" applyNumberFormat="1" applyFont="1" applyBorder="1" applyAlignment="1">
      <alignment wrapText="1"/>
    </xf>
    <xf numFmtId="9" fontId="13" fillId="0" borderId="34" xfId="2563" applyBorder="1" applyAlignment="1">
      <alignment wrapText="1"/>
    </xf>
    <xf numFmtId="9" fontId="0" fillId="0" borderId="34" xfId="2563" applyFont="1" applyBorder="1" applyAlignment="1">
      <alignment wrapText="1"/>
    </xf>
    <xf numFmtId="0" fontId="42" fillId="0" borderId="34" xfId="0" applyFont="1" applyBorder="1" applyAlignment="1">
      <alignment horizontal="center" vertical="center"/>
    </xf>
    <xf numFmtId="179" fontId="42" fillId="0" borderId="34" xfId="0" applyNumberFormat="1" applyFont="1" applyBorder="1" applyAlignment="1">
      <alignment horizontal="center" vertical="center" wrapText="1"/>
    </xf>
    <xf numFmtId="9" fontId="42" fillId="0" borderId="34" xfId="2563" applyFont="1" applyBorder="1" applyAlignment="1">
      <alignment wrapText="1"/>
    </xf>
    <xf numFmtId="179" fontId="42" fillId="0" borderId="34" xfId="2" applyNumberFormat="1" applyFont="1" applyBorder="1" applyAlignment="1">
      <alignment wrapText="1"/>
    </xf>
    <xf numFmtId="17" fontId="37" fillId="0" borderId="34" xfId="0" applyNumberFormat="1" applyFont="1" applyBorder="1" applyAlignment="1">
      <alignment horizontal="left" vertical="center" wrapText="1"/>
    </xf>
    <xf numFmtId="14" fontId="32" fillId="4" borderId="37" xfId="0" applyNumberFormat="1" applyFont="1" applyFill="1" applyBorder="1" applyAlignment="1">
      <alignment horizontal="center" vertical="center" wrapText="1"/>
    </xf>
    <xf numFmtId="0" fontId="32" fillId="4" borderId="37" xfId="0" applyFont="1" applyFill="1" applyBorder="1" applyAlignment="1">
      <alignment horizontal="center" vertical="center" wrapText="1"/>
    </xf>
    <xf numFmtId="174" fontId="14" fillId="10" borderId="37" xfId="1" applyNumberFormat="1" applyFont="1" applyFill="1" applyBorder="1" applyAlignment="1">
      <alignment horizontal="center" vertical="center" wrapText="1" readingOrder="1"/>
    </xf>
    <xf numFmtId="174" fontId="14" fillId="10" borderId="37" xfId="1" applyNumberFormat="1" applyFont="1" applyFill="1" applyBorder="1" applyAlignment="1">
      <alignment horizontal="center" vertical="center" wrapText="1" readingOrder="1"/>
    </xf>
    <xf numFmtId="14" fontId="0" fillId="0" borderId="0" xfId="0" applyNumberFormat="1"/>
    <xf numFmtId="0" fontId="42" fillId="27" borderId="0" xfId="0" applyFont="1" applyFill="1" applyAlignment="1">
      <alignment horizontal="center"/>
    </xf>
    <xf numFmtId="0" fontId="0" fillId="0" borderId="0" xfId="0" pivotButton="1"/>
    <xf numFmtId="0" fontId="37" fillId="2" borderId="34" xfId="0" applyFont="1" applyFill="1" applyBorder="1" applyAlignment="1">
      <alignment horizontal="left" vertical="center" wrapText="1"/>
    </xf>
    <xf numFmtId="171" fontId="43" fillId="0" borderId="0" xfId="0" applyNumberFormat="1" applyFont="1" applyFill="1" applyBorder="1" applyAlignment="1" applyProtection="1"/>
    <xf numFmtId="179" fontId="42" fillId="27" borderId="0" xfId="2" applyNumberFormat="1" applyFont="1" applyFill="1" applyAlignment="1">
      <alignment horizontal="center"/>
    </xf>
    <xf numFmtId="179" fontId="0" fillId="0" borderId="0" xfId="2" applyNumberFormat="1" applyFont="1"/>
    <xf numFmtId="0" fontId="0" fillId="0" borderId="31" xfId="0" applyBorder="1"/>
    <xf numFmtId="0" fontId="0" fillId="0" borderId="32" xfId="0" applyBorder="1"/>
    <xf numFmtId="0" fontId="0" fillId="0" borderId="0" xfId="0" applyNumberFormat="1" applyBorder="1"/>
    <xf numFmtId="0" fontId="0" fillId="0" borderId="3" xfId="0" applyNumberFormat="1" applyBorder="1"/>
    <xf numFmtId="0" fontId="0" fillId="0" borderId="10" xfId="0" applyNumberFormat="1" applyBorder="1"/>
    <xf numFmtId="0" fontId="0" fillId="0" borderId="8" xfId="0" applyNumberFormat="1" applyBorder="1"/>
    <xf numFmtId="0" fontId="0" fillId="0" borderId="35" xfId="0" applyBorder="1"/>
    <xf numFmtId="0" fontId="0" fillId="0" borderId="31" xfId="0" applyNumberFormat="1" applyBorder="1"/>
    <xf numFmtId="0" fontId="0" fillId="0" borderId="36" xfId="0" applyBorder="1"/>
    <xf numFmtId="0" fontId="0" fillId="0" borderId="32" xfId="0" applyNumberFormat="1" applyBorder="1"/>
    <xf numFmtId="0" fontId="0" fillId="0" borderId="33" xfId="0" applyNumberFormat="1" applyBorder="1"/>
    <xf numFmtId="0" fontId="0" fillId="0" borderId="9" xfId="0" applyNumberFormat="1" applyBorder="1"/>
    <xf numFmtId="0" fontId="0" fillId="0" borderId="4" xfId="0" applyNumberFormat="1" applyBorder="1"/>
    <xf numFmtId="0" fontId="0" fillId="0" borderId="34" xfId="0" pivotButton="1" applyBorder="1"/>
    <xf numFmtId="0" fontId="0" fillId="0" borderId="37"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179" fontId="0" fillId="0" borderId="35" xfId="0" applyNumberFormat="1" applyBorder="1"/>
    <xf numFmtId="0" fontId="0" fillId="0" borderId="38" xfId="0" applyBorder="1"/>
    <xf numFmtId="0" fontId="0" fillId="0" borderId="37" xfId="0" applyBorder="1"/>
    <xf numFmtId="179" fontId="0" fillId="0" borderId="38" xfId="0" applyNumberFormat="1" applyBorder="1"/>
    <xf numFmtId="179" fontId="0" fillId="0" borderId="34" xfId="0" applyNumberFormat="1" applyBorder="1"/>
    <xf numFmtId="179" fontId="0" fillId="0" borderId="37" xfId="0" applyNumberFormat="1" applyBorder="1"/>
    <xf numFmtId="179" fontId="0" fillId="0" borderId="2" xfId="0" applyNumberFormat="1" applyBorder="1"/>
    <xf numFmtId="179" fontId="43" fillId="0" borderId="1" xfId="0" applyNumberFormat="1" applyFont="1" applyFill="1" applyBorder="1" applyAlignment="1" applyProtection="1"/>
    <xf numFmtId="179" fontId="0" fillId="0" borderId="1" xfId="0" applyNumberFormat="1" applyBorder="1"/>
    <xf numFmtId="0" fontId="0" fillId="0" borderId="37" xfId="0" applyNumberFormat="1" applyBorder="1"/>
    <xf numFmtId="0" fontId="0" fillId="0" borderId="2" xfId="0" applyNumberFormat="1" applyBorder="1"/>
    <xf numFmtId="0" fontId="0" fillId="0" borderId="1" xfId="0" applyNumberFormat="1" applyBorder="1"/>
    <xf numFmtId="0" fontId="0" fillId="0" borderId="33" xfId="0" applyBorder="1"/>
    <xf numFmtId="0" fontId="0" fillId="0" borderId="9" xfId="0" applyBorder="1"/>
    <xf numFmtId="9" fontId="0" fillId="0" borderId="0" xfId="2563" applyFont="1"/>
    <xf numFmtId="0" fontId="0" fillId="0" borderId="0" xfId="0" applyBorder="1" applyAlignment="1"/>
    <xf numFmtId="4" fontId="0" fillId="0" borderId="0" xfId="0" applyNumberFormat="1"/>
    <xf numFmtId="0" fontId="42" fillId="0" borderId="1" xfId="0" applyFont="1" applyBorder="1" applyAlignment="1">
      <alignment horizontal="center" vertical="center"/>
    </xf>
    <xf numFmtId="9" fontId="42" fillId="0" borderId="1" xfId="2563" applyFont="1" applyBorder="1" applyAlignment="1">
      <alignment horizontal="center" vertical="center" wrapText="1"/>
    </xf>
    <xf numFmtId="0" fontId="42" fillId="0" borderId="1" xfId="0" applyFont="1" applyBorder="1" applyAlignment="1">
      <alignment horizontal="center" vertical="center" wrapText="1"/>
    </xf>
    <xf numFmtId="0" fontId="42" fillId="2" borderId="0" xfId="0" applyFont="1" applyFill="1" applyAlignment="1">
      <alignment horizontal="center"/>
    </xf>
    <xf numFmtId="179" fontId="42" fillId="2" borderId="0" xfId="2" applyNumberFormat="1" applyFont="1" applyFill="1" applyAlignment="1">
      <alignment horizontal="center"/>
    </xf>
    <xf numFmtId="179" fontId="0" fillId="2" borderId="0" xfId="2" applyNumberFormat="1" applyFont="1" applyFill="1"/>
    <xf numFmtId="0" fontId="0" fillId="0" borderId="34" xfId="0" applyNumberFormat="1" applyBorder="1"/>
    <xf numFmtId="3" fontId="0" fillId="0" borderId="0" xfId="0" applyNumberFormat="1"/>
    <xf numFmtId="0" fontId="25" fillId="8" borderId="36" xfId="0" applyFont="1" applyFill="1" applyBorder="1" applyAlignment="1">
      <alignment horizontal="center" vertical="center" wrapText="1"/>
    </xf>
    <xf numFmtId="0" fontId="21" fillId="3" borderId="35" xfId="0" applyFont="1" applyFill="1" applyBorder="1" applyAlignment="1">
      <alignment horizontal="left" vertical="center"/>
    </xf>
    <xf numFmtId="0" fontId="21" fillId="3" borderId="27" xfId="0" applyFont="1" applyFill="1" applyBorder="1" applyAlignment="1">
      <alignment horizontal="left" vertical="center"/>
    </xf>
    <xf numFmtId="0" fontId="21" fillId="3" borderId="34" xfId="0" applyFont="1" applyFill="1" applyBorder="1" applyAlignment="1">
      <alignment horizontal="left" vertical="center"/>
    </xf>
    <xf numFmtId="0" fontId="24" fillId="3" borderId="36" xfId="0" applyFont="1" applyFill="1" applyBorder="1" applyAlignment="1">
      <alignment horizontal="left" vertical="center"/>
    </xf>
    <xf numFmtId="174" fontId="31" fillId="10" borderId="37" xfId="1" applyNumberFormat="1" applyFont="1" applyFill="1" applyBorder="1" applyAlignment="1">
      <alignment horizontal="center" vertical="center" wrapText="1" readingOrder="1"/>
    </xf>
    <xf numFmtId="174" fontId="46" fillId="10" borderId="37" xfId="1" applyNumberFormat="1" applyFont="1" applyFill="1" applyBorder="1" applyAlignment="1">
      <alignment horizontal="center" vertical="center" wrapText="1" readingOrder="1"/>
    </xf>
    <xf numFmtId="0" fontId="27" fillId="20" borderId="34" xfId="0" applyFont="1" applyFill="1" applyBorder="1" applyAlignment="1">
      <alignment horizontal="left" vertical="center" wrapText="1"/>
    </xf>
    <xf numFmtId="3" fontId="27" fillId="20" borderId="34" xfId="0" applyNumberFormat="1" applyFont="1" applyFill="1" applyBorder="1" applyAlignment="1">
      <alignment horizontal="right" vertical="center"/>
    </xf>
    <xf numFmtId="3" fontId="30" fillId="8" borderId="34" xfId="0" applyNumberFormat="1" applyFont="1" applyFill="1" applyBorder="1" applyAlignment="1">
      <alignment horizontal="right" vertical="center"/>
    </xf>
    <xf numFmtId="3" fontId="50" fillId="2" borderId="34" xfId="35" applyNumberFormat="1" applyFont="1" applyFill="1" applyBorder="1" applyAlignment="1">
      <alignment vertical="center" wrapText="1"/>
    </xf>
    <xf numFmtId="3" fontId="27" fillId="6" borderId="34" xfId="0" applyNumberFormat="1" applyFont="1" applyFill="1" applyBorder="1" applyAlignment="1">
      <alignment vertical="center" wrapText="1"/>
    </xf>
    <xf numFmtId="3" fontId="50" fillId="0" borderId="34" xfId="35" applyNumberFormat="1" applyFont="1" applyFill="1" applyBorder="1" applyAlignment="1">
      <alignment vertical="center" wrapText="1"/>
    </xf>
    <xf numFmtId="0" fontId="45" fillId="6" borderId="37" xfId="0" applyFont="1" applyFill="1" applyBorder="1" applyAlignment="1">
      <alignment vertical="center" wrapText="1"/>
    </xf>
    <xf numFmtId="3" fontId="30" fillId="11" borderId="34" xfId="0" applyNumberFormat="1" applyFont="1" applyFill="1" applyBorder="1" applyAlignment="1">
      <alignment horizontal="right" vertical="center"/>
    </xf>
    <xf numFmtId="0" fontId="30" fillId="8" borderId="36" xfId="0" applyFont="1" applyFill="1" applyBorder="1" applyAlignment="1">
      <alignment vertical="center" wrapText="1"/>
    </xf>
    <xf numFmtId="0" fontId="30" fillId="8" borderId="38" xfId="0" applyFont="1" applyFill="1" applyBorder="1" applyAlignment="1">
      <alignment vertical="center" wrapText="1"/>
    </xf>
    <xf numFmtId="0" fontId="16" fillId="20" borderId="34"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6" fillId="2" borderId="37" xfId="0" applyFont="1" applyFill="1" applyBorder="1" applyAlignment="1">
      <alignment vertical="center" wrapText="1"/>
    </xf>
    <xf numFmtId="3" fontId="45" fillId="2" borderId="34" xfId="2" applyNumberFormat="1" applyFont="1" applyFill="1" applyBorder="1" applyAlignment="1">
      <alignment horizontal="right" vertical="center"/>
    </xf>
    <xf numFmtId="3" fontId="51" fillId="2" borderId="34" xfId="0" applyNumberFormat="1" applyFont="1" applyFill="1" applyBorder="1" applyAlignment="1">
      <alignment horizontal="right" vertical="center" wrapText="1"/>
    </xf>
    <xf numFmtId="3" fontId="16" fillId="6" borderId="34" xfId="0" applyNumberFormat="1" applyFont="1" applyFill="1" applyBorder="1" applyAlignment="1">
      <alignment vertical="center" wrapText="1"/>
    </xf>
    <xf numFmtId="3" fontId="45" fillId="0" borderId="34" xfId="2" applyNumberFormat="1" applyFont="1" applyFill="1" applyBorder="1" applyAlignment="1">
      <alignment horizontal="right" vertical="center"/>
    </xf>
    <xf numFmtId="3" fontId="51" fillId="0" borderId="34" xfId="0" applyNumberFormat="1" applyFont="1" applyFill="1" applyBorder="1" applyAlignment="1">
      <alignment horizontal="right" vertical="center" wrapText="1"/>
    </xf>
    <xf numFmtId="3" fontId="16" fillId="0" borderId="34" xfId="0" applyNumberFormat="1" applyFont="1" applyFill="1" applyBorder="1" applyAlignment="1">
      <alignment vertical="center" wrapText="1"/>
    </xf>
    <xf numFmtId="3" fontId="51" fillId="8" borderId="34" xfId="0" applyNumberFormat="1" applyFont="1" applyFill="1" applyBorder="1" applyAlignment="1">
      <alignment horizontal="right" vertical="center"/>
    </xf>
    <xf numFmtId="3" fontId="16" fillId="2" borderId="34" xfId="0" applyNumberFormat="1" applyFont="1" applyFill="1" applyBorder="1" applyAlignment="1">
      <alignment horizontal="right" vertical="center"/>
    </xf>
    <xf numFmtId="3" fontId="51" fillId="13" borderId="34" xfId="0" applyNumberFormat="1" applyFont="1" applyFill="1" applyBorder="1" applyAlignment="1">
      <alignment horizontal="right" vertical="center" wrapText="1"/>
    </xf>
    <xf numFmtId="3" fontId="52" fillId="14" borderId="34" xfId="0" applyNumberFormat="1" applyFont="1" applyFill="1" applyBorder="1" applyAlignment="1">
      <alignment horizontal="right" vertical="center"/>
    </xf>
    <xf numFmtId="0" fontId="16" fillId="20" borderId="37" xfId="0" applyFont="1" applyFill="1" applyBorder="1" applyAlignment="1">
      <alignment horizontal="left" vertical="center" wrapText="1"/>
    </xf>
    <xf numFmtId="0" fontId="16" fillId="20" borderId="36" xfId="0" applyFont="1" applyFill="1" applyBorder="1" applyAlignment="1">
      <alignment horizontal="left" vertical="center" wrapText="1"/>
    </xf>
    <xf numFmtId="0" fontId="16" fillId="0" borderId="34" xfId="0" applyFont="1" applyFill="1" applyBorder="1" applyAlignment="1">
      <alignment horizontal="justify" vertical="center" wrapText="1"/>
    </xf>
    <xf numFmtId="3" fontId="16" fillId="2" borderId="34" xfId="2" applyNumberFormat="1" applyFont="1" applyFill="1" applyBorder="1" applyAlignment="1">
      <alignment horizontal="right" vertical="center"/>
    </xf>
    <xf numFmtId="3" fontId="16" fillId="0" borderId="34" xfId="0" applyNumberFormat="1" applyFont="1" applyFill="1" applyBorder="1" applyAlignment="1">
      <alignment horizontal="right" vertical="center"/>
    </xf>
    <xf numFmtId="3" fontId="51" fillId="8" borderId="34" xfId="0" applyNumberFormat="1" applyFont="1" applyFill="1" applyBorder="1" applyAlignment="1">
      <alignment horizontal="right" vertical="center" wrapText="1"/>
    </xf>
    <xf numFmtId="0" fontId="38" fillId="0" borderId="34" xfId="0" applyFont="1" applyFill="1" applyBorder="1" applyAlignment="1">
      <alignment horizontal="left" wrapText="1"/>
    </xf>
    <xf numFmtId="0" fontId="45" fillId="0" borderId="34" xfId="0" applyFont="1" applyFill="1" applyBorder="1" applyAlignment="1">
      <alignment horizontal="left" wrapText="1"/>
    </xf>
    <xf numFmtId="0" fontId="45" fillId="2" borderId="34" xfId="0" applyFont="1" applyFill="1" applyBorder="1" applyAlignment="1">
      <alignment horizontal="left" wrapText="1"/>
    </xf>
    <xf numFmtId="3" fontId="45" fillId="2" borderId="34" xfId="0" applyNumberFormat="1" applyFont="1" applyFill="1" applyBorder="1" applyAlignment="1">
      <alignment horizontal="right" vertical="center" wrapText="1"/>
    </xf>
    <xf numFmtId="0" fontId="45" fillId="2" borderId="34" xfId="0" applyFont="1" applyFill="1" applyBorder="1" applyAlignment="1">
      <alignment horizontal="left" vertical="center" wrapText="1"/>
    </xf>
    <xf numFmtId="0" fontId="44" fillId="2" borderId="34" xfId="0" applyFont="1" applyFill="1" applyBorder="1" applyAlignment="1">
      <alignment horizontal="center" vertical="center" wrapText="1"/>
    </xf>
    <xf numFmtId="3" fontId="16" fillId="20" borderId="34" xfId="0" applyNumberFormat="1" applyFont="1" applyFill="1" applyBorder="1" applyAlignment="1">
      <alignment horizontal="right" vertical="center" wrapText="1"/>
    </xf>
    <xf numFmtId="3" fontId="16" fillId="2" borderId="34" xfId="0" applyNumberFormat="1" applyFont="1" applyFill="1" applyBorder="1" applyAlignment="1">
      <alignment vertical="center" wrapText="1"/>
    </xf>
    <xf numFmtId="0" fontId="45" fillId="2" borderId="34" xfId="0" applyFont="1" applyFill="1" applyBorder="1" applyAlignment="1">
      <alignment horizontal="justify" vertical="justify" wrapText="1"/>
    </xf>
    <xf numFmtId="0" fontId="45" fillId="2" borderId="34" xfId="0" applyFont="1" applyFill="1" applyBorder="1" applyAlignment="1">
      <alignment horizontal="justify" vertical="center" wrapText="1"/>
    </xf>
    <xf numFmtId="0" fontId="16" fillId="20" borderId="37" xfId="0" applyFont="1" applyFill="1" applyBorder="1" applyAlignment="1">
      <alignment vertical="center" wrapText="1"/>
    </xf>
    <xf numFmtId="0" fontId="45" fillId="0" borderId="34" xfId="0" applyFont="1" applyFill="1" applyBorder="1" applyAlignment="1">
      <alignment vertical="center" wrapText="1"/>
    </xf>
    <xf numFmtId="3" fontId="51" fillId="20" borderId="34" xfId="0" applyNumberFormat="1" applyFont="1" applyFill="1" applyBorder="1" applyAlignment="1">
      <alignment horizontal="right" vertical="center" wrapText="1"/>
    </xf>
    <xf numFmtId="3" fontId="51" fillId="25" borderId="34" xfId="0" applyNumberFormat="1" applyFont="1" applyFill="1" applyBorder="1" applyAlignment="1">
      <alignment horizontal="right" vertical="center" wrapText="1"/>
    </xf>
    <xf numFmtId="0" fontId="45" fillId="2" borderId="34" xfId="1" applyNumberFormat="1" applyFont="1" applyFill="1" applyBorder="1" applyAlignment="1" applyProtection="1">
      <alignment horizontal="justify" vertical="justify" wrapText="1"/>
    </xf>
    <xf numFmtId="0" fontId="45" fillId="2" borderId="34" xfId="0" applyFont="1" applyFill="1" applyBorder="1" applyAlignment="1">
      <alignment horizontal="left" vertical="justify" wrapText="1"/>
    </xf>
    <xf numFmtId="0" fontId="16" fillId="2" borderId="34" xfId="0" applyFont="1" applyFill="1" applyBorder="1" applyAlignment="1">
      <alignment horizontal="justify" vertical="justify" wrapText="1"/>
    </xf>
    <xf numFmtId="0" fontId="55" fillId="2" borderId="34" xfId="0" applyFont="1" applyFill="1" applyBorder="1" applyAlignment="1">
      <alignment horizontal="left" wrapText="1"/>
    </xf>
    <xf numFmtId="3" fontId="55" fillId="2" borderId="34" xfId="1194" applyNumberFormat="1" applyFont="1" applyFill="1" applyBorder="1" applyAlignment="1">
      <alignment horizontal="right" vertical="center" wrapText="1"/>
    </xf>
    <xf numFmtId="3" fontId="55" fillId="2" borderId="34" xfId="1142" applyNumberFormat="1" applyFont="1" applyFill="1" applyBorder="1" applyAlignment="1">
      <alignment horizontal="right" vertical="center" wrapText="1"/>
    </xf>
    <xf numFmtId="3" fontId="55" fillId="2" borderId="34" xfId="2" applyNumberFormat="1" applyFont="1" applyFill="1" applyBorder="1" applyAlignment="1">
      <alignment horizontal="right" vertical="center"/>
    </xf>
    <xf numFmtId="3" fontId="55" fillId="2" borderId="34" xfId="1147" applyNumberFormat="1" applyFont="1" applyFill="1" applyBorder="1" applyAlignment="1">
      <alignment horizontal="right" vertical="center" wrapText="1"/>
    </xf>
    <xf numFmtId="3" fontId="60" fillId="2" borderId="34" xfId="1128" applyNumberFormat="1" applyFont="1" applyFill="1" applyBorder="1" applyAlignment="1">
      <alignment horizontal="right" vertical="center"/>
    </xf>
    <xf numFmtId="3" fontId="57" fillId="8" borderId="34" xfId="0" applyNumberFormat="1" applyFont="1" applyFill="1" applyBorder="1" applyAlignment="1">
      <alignment vertical="center" wrapText="1"/>
    </xf>
    <xf numFmtId="3" fontId="55" fillId="2" borderId="34" xfId="2" applyNumberFormat="1" applyFont="1" applyFill="1" applyBorder="1" applyAlignment="1">
      <alignment vertical="center"/>
    </xf>
    <xf numFmtId="3" fontId="55" fillId="2" borderId="34" xfId="1147" applyNumberFormat="1" applyFont="1" applyFill="1" applyBorder="1" applyAlignment="1">
      <alignment horizontal="left" vertical="center" wrapText="1"/>
    </xf>
    <xf numFmtId="3" fontId="58" fillId="16" borderId="34" xfId="0" applyNumberFormat="1" applyFont="1" applyFill="1" applyBorder="1" applyAlignment="1">
      <alignment vertical="center"/>
    </xf>
    <xf numFmtId="3" fontId="58" fillId="15" borderId="34" xfId="0" applyNumberFormat="1" applyFont="1" applyFill="1" applyBorder="1" applyAlignment="1">
      <alignment vertical="center"/>
    </xf>
    <xf numFmtId="3" fontId="57" fillId="20" borderId="34" xfId="0" applyNumberFormat="1" applyFont="1" applyFill="1" applyBorder="1" applyAlignment="1">
      <alignment horizontal="right" vertical="center" wrapText="1"/>
    </xf>
    <xf numFmtId="3" fontId="58" fillId="24" borderId="34" xfId="0" applyNumberFormat="1" applyFont="1" applyFill="1" applyBorder="1" applyAlignment="1">
      <alignment vertical="center"/>
    </xf>
    <xf numFmtId="0" fontId="24" fillId="24" borderId="0" xfId="0" applyFont="1" applyFill="1" applyBorder="1" applyAlignment="1">
      <alignment horizontal="center" vertical="center"/>
    </xf>
    <xf numFmtId="0" fontId="17" fillId="2" borderId="0" xfId="0" applyFont="1" applyFill="1" applyBorder="1"/>
    <xf numFmtId="171" fontId="59" fillId="2" borderId="0" xfId="1" applyNumberFormat="1" applyFont="1" applyFill="1" applyBorder="1" applyAlignment="1" applyProtection="1">
      <alignment vertical="center"/>
    </xf>
    <xf numFmtId="169" fontId="61" fillId="0" borderId="0" xfId="3" applyNumberFormat="1" applyFont="1" applyBorder="1" applyAlignment="1" applyProtection="1">
      <alignment vertical="center"/>
    </xf>
    <xf numFmtId="171" fontId="30" fillId="2" borderId="0" xfId="1" applyNumberFormat="1" applyFont="1" applyFill="1" applyBorder="1" applyAlignment="1" applyProtection="1">
      <alignment horizontal="center" vertical="center"/>
    </xf>
    <xf numFmtId="3" fontId="58" fillId="24" borderId="0" xfId="0" applyNumberFormat="1" applyFont="1" applyFill="1" applyBorder="1" applyAlignment="1">
      <alignment vertical="center"/>
    </xf>
    <xf numFmtId="171" fontId="44" fillId="2" borderId="0" xfId="1" applyNumberFormat="1" applyFont="1" applyFill="1" applyBorder="1" applyAlignment="1" applyProtection="1">
      <alignment vertical="center"/>
    </xf>
    <xf numFmtId="171" fontId="45" fillId="2" borderId="36" xfId="1" applyNumberFormat="1" applyFont="1" applyFill="1" applyBorder="1" applyAlignment="1" applyProtection="1">
      <alignment horizontal="left" vertical="center" wrapText="1"/>
    </xf>
    <xf numFmtId="49" fontId="45" fillId="2" borderId="36" xfId="1" applyNumberFormat="1" applyFont="1" applyFill="1" applyBorder="1" applyAlignment="1" applyProtection="1">
      <alignment horizontal="left" vertical="center" wrapText="1"/>
    </xf>
    <xf numFmtId="171" fontId="45" fillId="2" borderId="36" xfId="1" applyNumberFormat="1" applyFont="1" applyFill="1" applyBorder="1" applyAlignment="1" applyProtection="1">
      <alignment horizontal="left" vertical="justify" wrapText="1"/>
    </xf>
    <xf numFmtId="0" fontId="16" fillId="2" borderId="34" xfId="0" applyFont="1" applyFill="1" applyBorder="1" applyAlignment="1">
      <alignment vertical="center" wrapText="1"/>
    </xf>
    <xf numFmtId="0" fontId="45" fillId="2" borderId="34" xfId="2" applyNumberFormat="1" applyFont="1" applyFill="1" applyBorder="1" applyAlignment="1">
      <alignment horizontal="justify" vertical="justify" wrapText="1"/>
    </xf>
    <xf numFmtId="3" fontId="45" fillId="2" borderId="34" xfId="0" applyNumberFormat="1" applyFont="1" applyFill="1" applyBorder="1" applyAlignment="1">
      <alignment vertical="center" wrapText="1"/>
    </xf>
    <xf numFmtId="3" fontId="16" fillId="2" borderId="34" xfId="0" applyNumberFormat="1" applyFont="1" applyFill="1" applyBorder="1" applyAlignment="1">
      <alignment vertical="center"/>
    </xf>
    <xf numFmtId="3" fontId="44" fillId="19" borderId="34" xfId="3" applyNumberFormat="1" applyFont="1" applyFill="1" applyBorder="1" applyAlignment="1" applyProtection="1">
      <alignment horizontal="right" vertical="center" wrapText="1"/>
    </xf>
    <xf numFmtId="3" fontId="51" fillId="9" borderId="34" xfId="0" applyNumberFormat="1" applyFont="1" applyFill="1" applyBorder="1" applyAlignment="1">
      <alignment vertical="center" wrapText="1"/>
    </xf>
    <xf numFmtId="3" fontId="45" fillId="2" borderId="34" xfId="2" applyNumberFormat="1" applyFont="1" applyFill="1" applyBorder="1" applyAlignment="1">
      <alignment vertical="center"/>
    </xf>
    <xf numFmtId="3" fontId="16" fillId="6" borderId="34" xfId="0" applyNumberFormat="1" applyFont="1" applyFill="1" applyBorder="1" applyAlignment="1">
      <alignment horizontal="center" vertical="center" wrapText="1"/>
    </xf>
    <xf numFmtId="171" fontId="25" fillId="2" borderId="0" xfId="1" applyNumberFormat="1" applyFont="1" applyFill="1" applyBorder="1" applyAlignment="1" applyProtection="1">
      <alignment vertical="center"/>
    </xf>
    <xf numFmtId="0" fontId="52" fillId="3" borderId="0" xfId="0" applyFont="1" applyFill="1" applyBorder="1" applyAlignment="1">
      <alignment vertical="center"/>
    </xf>
    <xf numFmtId="0" fontId="0" fillId="0" borderId="0" xfId="0" applyBorder="1"/>
    <xf numFmtId="171" fontId="13" fillId="0" borderId="37" xfId="1" applyNumberFormat="1" applyBorder="1"/>
    <xf numFmtId="0" fontId="62" fillId="31" borderId="34" xfId="2565" applyBorder="1" applyAlignment="1" applyProtection="1">
      <alignment horizontal="center" vertical="center" wrapText="1"/>
    </xf>
    <xf numFmtId="1" fontId="62" fillId="31" borderId="34" xfId="2565" applyNumberFormat="1" applyBorder="1" applyAlignment="1" applyProtection="1">
      <alignment horizontal="center" vertical="center" wrapText="1"/>
      <protection locked="0"/>
    </xf>
    <xf numFmtId="0" fontId="0" fillId="0" borderId="34" xfId="0" applyBorder="1" applyProtection="1">
      <protection locked="0"/>
    </xf>
    <xf numFmtId="0" fontId="0" fillId="0" borderId="0" xfId="0" applyProtection="1">
      <protection locked="0"/>
    </xf>
    <xf numFmtId="1" fontId="0" fillId="0" borderId="0" xfId="0" applyNumberFormat="1" applyProtection="1">
      <protection locked="0"/>
    </xf>
    <xf numFmtId="0" fontId="0" fillId="0" borderId="34" xfId="0" applyBorder="1" applyAlignment="1" applyProtection="1">
      <alignment wrapText="1"/>
      <protection locked="0"/>
    </xf>
    <xf numFmtId="0" fontId="0" fillId="2" borderId="34" xfId="0" applyFill="1" applyBorder="1" applyAlignment="1" applyProtection="1">
      <alignment wrapText="1"/>
      <protection locked="0"/>
    </xf>
    <xf numFmtId="1" fontId="0" fillId="2" borderId="34" xfId="0" applyNumberFormat="1" applyFill="1" applyBorder="1" applyAlignment="1" applyProtection="1">
      <alignment wrapText="1"/>
      <protection locked="0"/>
    </xf>
    <xf numFmtId="0" fontId="0" fillId="26" borderId="34" xfId="0" applyFill="1" applyBorder="1" applyAlignment="1" applyProtection="1">
      <alignment wrapText="1"/>
      <protection locked="0"/>
    </xf>
    <xf numFmtId="0" fontId="0" fillId="2" borderId="34" xfId="0" applyFill="1" applyBorder="1" applyAlignment="1" applyProtection="1">
      <alignment horizontal="center" wrapText="1"/>
      <protection locked="0"/>
    </xf>
    <xf numFmtId="0" fontId="0" fillId="0" borderId="37" xfId="0" applyBorder="1" applyAlignment="1" applyProtection="1">
      <alignment wrapText="1"/>
      <protection locked="0"/>
    </xf>
    <xf numFmtId="0" fontId="0" fillId="0" borderId="0" xfId="0" applyAlignment="1" applyProtection="1">
      <alignment wrapText="1"/>
      <protection locked="0"/>
    </xf>
    <xf numFmtId="0" fontId="0" fillId="10" borderId="34" xfId="0" applyFill="1" applyBorder="1" applyAlignment="1" applyProtection="1">
      <alignment wrapText="1"/>
      <protection locked="0"/>
    </xf>
    <xf numFmtId="0" fontId="0" fillId="2" borderId="34" xfId="0" applyFill="1" applyBorder="1" applyProtection="1">
      <protection locked="0"/>
    </xf>
    <xf numFmtId="0" fontId="0" fillId="10" borderId="34" xfId="0" applyFill="1" applyBorder="1" applyProtection="1">
      <protection locked="0"/>
    </xf>
    <xf numFmtId="0" fontId="0" fillId="10" borderId="1" xfId="0" applyFill="1" applyBorder="1" applyAlignment="1" applyProtection="1">
      <alignment wrapText="1"/>
      <protection locked="0"/>
    </xf>
    <xf numFmtId="0" fontId="0" fillId="10" borderId="34" xfId="0" applyFill="1" applyBorder="1" applyAlignment="1" applyProtection="1">
      <alignment horizontal="center"/>
      <protection locked="0"/>
    </xf>
    <xf numFmtId="1" fontId="0" fillId="10" borderId="34" xfId="0" applyNumberFormat="1" applyFill="1" applyBorder="1" applyProtection="1">
      <protection locked="0"/>
    </xf>
    <xf numFmtId="0" fontId="0" fillId="26" borderId="34" xfId="0" applyFill="1" applyBorder="1" applyProtection="1">
      <protection locked="0"/>
    </xf>
    <xf numFmtId="1" fontId="64" fillId="10" borderId="34" xfId="0" applyNumberFormat="1" applyFont="1" applyFill="1" applyBorder="1" applyProtection="1">
      <protection locked="0"/>
    </xf>
    <xf numFmtId="0" fontId="0" fillId="2" borderId="37" xfId="0" applyFill="1" applyBorder="1" applyAlignment="1" applyProtection="1">
      <alignment wrapText="1"/>
      <protection locked="0"/>
    </xf>
    <xf numFmtId="0" fontId="0" fillId="2" borderId="37" xfId="0" applyFill="1" applyBorder="1" applyProtection="1">
      <protection locked="0"/>
    </xf>
    <xf numFmtId="0" fontId="0" fillId="2" borderId="1" xfId="0" applyFill="1" applyBorder="1" applyAlignment="1" applyProtection="1">
      <alignment wrapText="1"/>
      <protection locked="0"/>
    </xf>
    <xf numFmtId="0" fontId="0" fillId="2" borderId="1" xfId="0" applyFill="1" applyBorder="1" applyProtection="1">
      <protection locked="0"/>
    </xf>
    <xf numFmtId="0" fontId="0" fillId="2" borderId="1" xfId="0" applyFill="1" applyBorder="1" applyAlignment="1" applyProtection="1">
      <alignment horizontal="center" wrapText="1"/>
      <protection locked="0"/>
    </xf>
    <xf numFmtId="0" fontId="0" fillId="2" borderId="34" xfId="0" applyFill="1" applyBorder="1" applyAlignment="1" applyProtection="1">
      <alignment horizontal="center"/>
      <protection locked="0"/>
    </xf>
    <xf numFmtId="1" fontId="0" fillId="2" borderId="34" xfId="0" applyNumberFormat="1" applyFill="1" applyBorder="1" applyProtection="1">
      <protection locked="0"/>
    </xf>
    <xf numFmtId="0" fontId="64" fillId="2" borderId="34" xfId="0" applyFont="1" applyFill="1" applyBorder="1" applyProtection="1">
      <protection locked="0"/>
    </xf>
    <xf numFmtId="0" fontId="64" fillId="2" borderId="34" xfId="0" applyFont="1" applyFill="1" applyBorder="1" applyAlignment="1" applyProtection="1">
      <alignment wrapText="1"/>
      <protection locked="0"/>
    </xf>
    <xf numFmtId="0" fontId="64" fillId="2" borderId="34" xfId="0" applyFont="1" applyFill="1" applyBorder="1" applyAlignment="1" applyProtection="1">
      <alignment horizontal="center"/>
      <protection locked="0"/>
    </xf>
    <xf numFmtId="0" fontId="64" fillId="2" borderId="1" xfId="0" applyFont="1" applyFill="1" applyBorder="1" applyAlignment="1" applyProtection="1">
      <alignment wrapText="1"/>
      <protection locked="0"/>
    </xf>
    <xf numFmtId="0" fontId="0" fillId="10" borderId="1" xfId="0" applyFill="1" applyBorder="1" applyProtection="1">
      <protection locked="0"/>
    </xf>
    <xf numFmtId="0" fontId="0" fillId="26" borderId="1" xfId="0" applyFill="1" applyBorder="1" applyAlignment="1" applyProtection="1">
      <alignment wrapText="1"/>
      <protection locked="0"/>
    </xf>
    <xf numFmtId="0" fontId="0" fillId="26" borderId="1" xfId="0" applyFill="1" applyBorder="1" applyProtection="1">
      <protection locked="0"/>
    </xf>
    <xf numFmtId="0" fontId="0" fillId="26" borderId="34" xfId="0" applyFill="1" applyBorder="1" applyAlignment="1" applyProtection="1">
      <alignment horizontal="center" wrapText="1"/>
      <protection locked="0"/>
    </xf>
    <xf numFmtId="1" fontId="0" fillId="26" borderId="34" xfId="0" applyNumberFormat="1" applyFill="1" applyBorder="1" applyAlignment="1" applyProtection="1">
      <alignment wrapText="1"/>
      <protection locked="0"/>
    </xf>
    <xf numFmtId="0" fontId="0" fillId="26" borderId="0" xfId="0" applyFill="1" applyProtection="1">
      <protection locked="0"/>
    </xf>
    <xf numFmtId="0" fontId="65" fillId="12" borderId="45" xfId="0" applyFont="1" applyFill="1" applyBorder="1" applyAlignment="1">
      <alignment horizontal="center" vertical="center" wrapText="1"/>
    </xf>
    <xf numFmtId="0" fontId="65" fillId="12" borderId="44" xfId="0" applyFont="1" applyFill="1" applyBorder="1" applyAlignment="1">
      <alignment horizontal="center" vertical="center" wrapText="1"/>
    </xf>
    <xf numFmtId="0" fontId="66" fillId="12" borderId="46" xfId="0" applyFont="1" applyFill="1" applyBorder="1" applyAlignment="1">
      <alignment horizontal="justify" vertical="center" wrapText="1"/>
    </xf>
    <xf numFmtId="0" fontId="66" fillId="12" borderId="47" xfId="0" applyFont="1" applyFill="1" applyBorder="1" applyAlignment="1">
      <alignment horizontal="center" vertical="center" wrapText="1"/>
    </xf>
    <xf numFmtId="0" fontId="63" fillId="12" borderId="47" xfId="2566" applyFill="1" applyBorder="1" applyAlignment="1">
      <alignment horizontal="justify" vertical="center" wrapText="1"/>
    </xf>
    <xf numFmtId="0" fontId="63" fillId="12" borderId="47" xfId="2566" applyFill="1" applyBorder="1" applyAlignment="1">
      <alignment horizontal="center" vertical="center" wrapText="1"/>
    </xf>
    <xf numFmtId="0" fontId="66" fillId="12" borderId="48" xfId="0" applyFont="1" applyFill="1" applyBorder="1" applyAlignment="1">
      <alignment horizontal="justify" vertical="center" wrapText="1"/>
    </xf>
    <xf numFmtId="0" fontId="66" fillId="12" borderId="49" xfId="0" applyFont="1" applyFill="1" applyBorder="1" applyAlignment="1">
      <alignment horizontal="center" vertical="center" wrapText="1"/>
    </xf>
    <xf numFmtId="0" fontId="66" fillId="12" borderId="34" xfId="0" applyFont="1" applyFill="1" applyBorder="1" applyAlignment="1">
      <alignment horizontal="justify" vertical="center" wrapText="1"/>
    </xf>
    <xf numFmtId="0" fontId="66" fillId="12" borderId="34" xfId="0" applyFont="1" applyFill="1" applyBorder="1" applyAlignment="1">
      <alignment horizontal="center" vertical="center" wrapText="1"/>
    </xf>
    <xf numFmtId="0" fontId="63" fillId="12" borderId="34" xfId="2566" applyFill="1" applyBorder="1" applyAlignment="1">
      <alignment horizontal="center" vertical="center" wrapText="1"/>
    </xf>
    <xf numFmtId="0" fontId="65" fillId="10" borderId="45" xfId="0" applyFont="1" applyFill="1" applyBorder="1" applyAlignment="1">
      <alignment horizontal="center" vertical="center" wrapText="1"/>
    </xf>
    <xf numFmtId="0" fontId="65" fillId="10" borderId="44" xfId="0" applyFont="1" applyFill="1" applyBorder="1" applyAlignment="1">
      <alignment horizontal="center" vertical="center" wrapText="1"/>
    </xf>
    <xf numFmtId="0" fontId="66" fillId="10" borderId="46" xfId="0" applyFont="1" applyFill="1" applyBorder="1" applyAlignment="1">
      <alignment horizontal="justify" vertical="center" wrapText="1"/>
    </xf>
    <xf numFmtId="0" fontId="66" fillId="10" borderId="47" xfId="0" applyFont="1" applyFill="1" applyBorder="1" applyAlignment="1">
      <alignment horizontal="center" vertical="center" wrapText="1"/>
    </xf>
    <xf numFmtId="0" fontId="63" fillId="10" borderId="47" xfId="2566" applyFill="1" applyBorder="1" applyAlignment="1">
      <alignment horizontal="center" vertical="center" wrapText="1"/>
    </xf>
    <xf numFmtId="0" fontId="66" fillId="10" borderId="49" xfId="0" applyFont="1" applyFill="1" applyBorder="1" applyAlignment="1">
      <alignment horizontal="center" vertical="center" wrapText="1"/>
    </xf>
    <xf numFmtId="18" fontId="66" fillId="10" borderId="47" xfId="0" applyNumberFormat="1" applyFont="1" applyFill="1" applyBorder="1" applyAlignment="1">
      <alignment horizontal="center" vertical="center" wrapText="1"/>
    </xf>
    <xf numFmtId="0" fontId="66" fillId="10" borderId="47" xfId="0" applyFont="1" applyFill="1" applyBorder="1" applyAlignment="1">
      <alignment horizontal="justify" vertical="center" wrapText="1"/>
    </xf>
    <xf numFmtId="0" fontId="41" fillId="12" borderId="44" xfId="0" applyFont="1" applyFill="1" applyBorder="1" applyAlignment="1">
      <alignment horizontal="center" vertical="center" wrapText="1"/>
    </xf>
    <xf numFmtId="0" fontId="68" fillId="12" borderId="47" xfId="2566" applyFont="1" applyFill="1" applyBorder="1" applyAlignment="1">
      <alignment horizontal="center" vertical="center" wrapText="1"/>
    </xf>
    <xf numFmtId="0" fontId="65" fillId="12" borderId="46" xfId="0" applyFont="1" applyFill="1" applyBorder="1" applyAlignment="1">
      <alignment horizontal="justify" vertical="center" wrapText="1"/>
    </xf>
    <xf numFmtId="0" fontId="65" fillId="12" borderId="47" xfId="0" applyFont="1" applyFill="1" applyBorder="1" applyAlignment="1">
      <alignment horizontal="center" vertical="center" wrapText="1"/>
    </xf>
    <xf numFmtId="0" fontId="68" fillId="10" borderId="47" xfId="2566" applyFont="1" applyFill="1" applyBorder="1" applyAlignment="1">
      <alignment horizontal="center" vertical="center" wrapText="1"/>
    </xf>
    <xf numFmtId="0" fontId="65" fillId="10" borderId="47" xfId="0" applyFont="1" applyFill="1" applyBorder="1" applyAlignment="1">
      <alignment horizontal="center" vertical="center" wrapText="1"/>
    </xf>
    <xf numFmtId="0" fontId="29" fillId="32" borderId="34" xfId="0" applyFont="1" applyFill="1" applyBorder="1" applyAlignment="1">
      <alignment horizontal="left" vertical="center" wrapText="1"/>
    </xf>
    <xf numFmtId="169" fontId="29" fillId="2" borderId="34" xfId="2" applyNumberFormat="1" applyFont="1" applyFill="1" applyBorder="1" applyAlignment="1">
      <alignment vertical="center"/>
    </xf>
    <xf numFmtId="169" fontId="29" fillId="32" borderId="34" xfId="3" applyNumberFormat="1" applyFont="1" applyFill="1" applyBorder="1" applyAlignment="1" applyProtection="1">
      <alignment horizontal="center" vertical="center" wrapText="1"/>
    </xf>
    <xf numFmtId="0" fontId="29" fillId="2" borderId="34" xfId="0" applyFont="1" applyFill="1" applyBorder="1" applyAlignment="1">
      <alignment horizontal="left" vertical="center" wrapText="1"/>
    </xf>
    <xf numFmtId="169" fontId="29" fillId="2" borderId="38" xfId="2" applyNumberFormat="1" applyFont="1" applyFill="1" applyBorder="1" applyAlignment="1">
      <alignment vertical="center"/>
    </xf>
    <xf numFmtId="0" fontId="29" fillId="32" borderId="37" xfId="0" applyFont="1" applyFill="1" applyBorder="1" applyAlignment="1">
      <alignment vertical="center" wrapText="1"/>
    </xf>
    <xf numFmtId="179" fontId="29" fillId="32" borderId="34" xfId="2" applyNumberFormat="1" applyFont="1" applyFill="1" applyBorder="1" applyAlignment="1">
      <alignment vertical="center" wrapText="1"/>
    </xf>
    <xf numFmtId="0" fontId="29" fillId="32" borderId="51" xfId="0" applyFont="1" applyFill="1" applyBorder="1" applyAlignment="1">
      <alignment horizontal="left" vertical="center" wrapText="1"/>
    </xf>
    <xf numFmtId="0" fontId="29" fillId="32" borderId="2" xfId="0" applyFont="1" applyFill="1" applyBorder="1" applyAlignment="1">
      <alignment horizontal="left" vertical="center" wrapText="1"/>
    </xf>
    <xf numFmtId="169" fontId="29" fillId="32" borderId="35" xfId="3" applyNumberFormat="1" applyFont="1" applyFill="1" applyBorder="1" applyAlignment="1" applyProtection="1">
      <alignment horizontal="center" vertical="center" wrapText="1"/>
    </xf>
    <xf numFmtId="169" fontId="29" fillId="32" borderId="52" xfId="3" applyNumberFormat="1" applyFont="1" applyFill="1" applyBorder="1" applyAlignment="1" applyProtection="1">
      <alignment horizontal="center" vertical="center" wrapText="1"/>
    </xf>
    <xf numFmtId="9" fontId="13" fillId="0" borderId="34" xfId="2563" applyBorder="1"/>
    <xf numFmtId="0" fontId="42" fillId="0" borderId="34" xfId="0" applyFont="1" applyBorder="1"/>
    <xf numFmtId="169" fontId="14" fillId="2" borderId="34" xfId="2" applyNumberFormat="1" applyFont="1" applyFill="1" applyBorder="1" applyAlignment="1">
      <alignment vertical="center"/>
    </xf>
    <xf numFmtId="0" fontId="29" fillId="2" borderId="37" xfId="0" applyFont="1" applyFill="1" applyBorder="1" applyAlignment="1">
      <alignment vertical="center" wrapText="1"/>
    </xf>
    <xf numFmtId="0" fontId="69" fillId="32" borderId="34" xfId="0" applyFont="1" applyFill="1" applyBorder="1" applyAlignment="1">
      <alignment horizontal="left" vertical="center" wrapText="1"/>
    </xf>
    <xf numFmtId="169" fontId="29" fillId="0" borderId="1" xfId="3" applyNumberFormat="1" applyFont="1" applyFill="1" applyBorder="1" applyAlignment="1" applyProtection="1">
      <alignment horizontal="center" vertical="center" wrapText="1"/>
    </xf>
    <xf numFmtId="169" fontId="29" fillId="2" borderId="1" xfId="3" applyNumberFormat="1" applyFont="1" applyFill="1" applyBorder="1" applyAlignment="1" applyProtection="1">
      <alignment horizontal="center" vertical="center" wrapText="1"/>
    </xf>
    <xf numFmtId="0" fontId="29" fillId="0" borderId="0" xfId="0" applyFont="1" applyBorder="1" applyAlignment="1">
      <alignment horizontal="left" vertical="center" wrapText="1"/>
    </xf>
    <xf numFmtId="0" fontId="29" fillId="0" borderId="0" xfId="0" applyFont="1" applyFill="1" applyBorder="1" applyAlignment="1">
      <alignment horizontal="left" wrapText="1"/>
    </xf>
    <xf numFmtId="0" fontId="69" fillId="0" borderId="0" xfId="0" applyFont="1" applyBorder="1" applyAlignment="1">
      <alignment horizontal="left" vertical="center" wrapText="1"/>
    </xf>
    <xf numFmtId="9" fontId="0" fillId="0" borderId="34" xfId="2563" applyFont="1" applyBorder="1"/>
    <xf numFmtId="169" fontId="70" fillId="32" borderId="34" xfId="3" applyFont="1" applyFill="1" applyBorder="1" applyAlignment="1" applyProtection="1">
      <alignment horizontal="left" vertical="center" wrapText="1"/>
    </xf>
    <xf numFmtId="169" fontId="70" fillId="33" borderId="34" xfId="3" applyFont="1" applyFill="1" applyBorder="1" applyAlignment="1" applyProtection="1">
      <alignment horizontal="left" vertical="center" wrapText="1"/>
    </xf>
    <xf numFmtId="0" fontId="70" fillId="32" borderId="34" xfId="0" applyFont="1" applyFill="1" applyBorder="1" applyAlignment="1">
      <alignment horizontal="left" vertical="center" wrapText="1"/>
    </xf>
    <xf numFmtId="0" fontId="0" fillId="0" borderId="0" xfId="0" applyProtection="1">
      <protection locked="0"/>
    </xf>
    <xf numFmtId="0" fontId="0" fillId="26" borderId="0" xfId="0" applyFill="1" applyAlignment="1" applyProtection="1">
      <alignment wrapText="1"/>
      <protection locked="0"/>
    </xf>
    <xf numFmtId="0" fontId="0" fillId="4" borderId="34" xfId="0" applyFill="1" applyBorder="1" applyAlignment="1" applyProtection="1">
      <alignment wrapText="1"/>
      <protection locked="0"/>
    </xf>
    <xf numFmtId="0" fontId="0" fillId="4" borderId="34" xfId="0" applyFill="1" applyBorder="1" applyAlignment="1" applyProtection="1">
      <alignment horizontal="center" wrapText="1"/>
      <protection locked="0"/>
    </xf>
    <xf numFmtId="1" fontId="0" fillId="4" borderId="34" xfId="0" applyNumberFormat="1" applyFill="1" applyBorder="1" applyAlignment="1" applyProtection="1">
      <alignment wrapText="1"/>
      <protection locked="0"/>
    </xf>
    <xf numFmtId="0" fontId="0" fillId="4" borderId="1" xfId="0" applyFill="1" applyBorder="1" applyAlignment="1" applyProtection="1">
      <alignment wrapText="1"/>
      <protection locked="0"/>
    </xf>
    <xf numFmtId="0" fontId="0" fillId="4" borderId="1" xfId="0" applyFill="1" applyBorder="1" applyProtection="1">
      <protection locked="0"/>
    </xf>
    <xf numFmtId="180" fontId="13" fillId="0" borderId="34" xfId="1" applyNumberFormat="1" applyBorder="1"/>
    <xf numFmtId="180" fontId="0" fillId="0" borderId="34" xfId="1" applyNumberFormat="1" applyFont="1" applyFill="1" applyBorder="1"/>
    <xf numFmtId="171" fontId="0" fillId="0" borderId="34" xfId="0" applyNumberFormat="1" applyBorder="1"/>
    <xf numFmtId="180" fontId="13" fillId="10" borderId="34" xfId="1" applyNumberFormat="1" applyFill="1" applyBorder="1"/>
    <xf numFmtId="0" fontId="55" fillId="2" borderId="34" xfId="0" applyFont="1" applyFill="1" applyBorder="1" applyAlignment="1">
      <alignment horizontal="center" vertical="center" wrapText="1"/>
    </xf>
    <xf numFmtId="0" fontId="73" fillId="2" borderId="34" xfId="2566"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5" fillId="0" borderId="34" xfId="0" applyFont="1" applyFill="1" applyBorder="1" applyAlignment="1">
      <alignment vertical="center" wrapText="1"/>
    </xf>
    <xf numFmtId="0" fontId="55" fillId="0" borderId="37" xfId="0" applyFont="1" applyFill="1" applyBorder="1" applyAlignment="1">
      <alignment vertical="center" wrapText="1"/>
    </xf>
    <xf numFmtId="3" fontId="55" fillId="2" borderId="34" xfId="0" applyNumberFormat="1" applyFont="1" applyFill="1" applyBorder="1" applyAlignment="1">
      <alignment horizontal="right" vertical="center" wrapText="1"/>
    </xf>
    <xf numFmtId="0" fontId="59" fillId="0" borderId="34" xfId="0" applyFont="1" applyFill="1" applyBorder="1" applyAlignment="1">
      <alignment horizontal="center" vertical="center" wrapText="1"/>
    </xf>
    <xf numFmtId="0" fontId="59" fillId="2" borderId="34" xfId="0" applyFont="1" applyFill="1" applyBorder="1" applyAlignment="1">
      <alignment horizontal="center" vertical="center" wrapText="1"/>
    </xf>
    <xf numFmtId="171" fontId="74" fillId="0" borderId="0" xfId="1" applyNumberFormat="1" applyFont="1"/>
    <xf numFmtId="0" fontId="55" fillId="0" borderId="0" xfId="0" applyFont="1" applyFill="1" applyBorder="1" applyAlignment="1">
      <alignment horizontal="center" vertical="center"/>
    </xf>
    <xf numFmtId="0" fontId="55" fillId="2" borderId="37" xfId="0" applyFont="1" applyFill="1" applyBorder="1" applyAlignment="1">
      <alignment vertical="center" wrapText="1"/>
    </xf>
    <xf numFmtId="0" fontId="59" fillId="3" borderId="12" xfId="0" applyFont="1" applyFill="1" applyBorder="1" applyAlignment="1">
      <alignment vertical="center" wrapText="1"/>
    </xf>
    <xf numFmtId="0" fontId="59" fillId="3" borderId="14" xfId="0" applyFont="1" applyFill="1" applyBorder="1" applyAlignment="1">
      <alignment vertical="center" wrapText="1"/>
    </xf>
    <xf numFmtId="0" fontId="59" fillId="3" borderId="13" xfId="0" applyFont="1" applyFill="1" applyBorder="1" applyAlignment="1">
      <alignment vertical="center" wrapText="1"/>
    </xf>
    <xf numFmtId="0" fontId="59" fillId="3" borderId="0" xfId="0" applyFont="1" applyFill="1" applyBorder="1" applyAlignment="1">
      <alignment horizontal="center" vertical="center" wrapText="1"/>
    </xf>
    <xf numFmtId="172" fontId="55" fillId="3" borderId="0" xfId="0" applyNumberFormat="1" applyFont="1" applyFill="1" applyBorder="1" applyAlignment="1">
      <alignment horizontal="left" vertical="center" wrapText="1"/>
    </xf>
    <xf numFmtId="0" fontId="55" fillId="2" borderId="0" xfId="0" applyFont="1" applyFill="1" applyBorder="1" applyAlignment="1">
      <alignment horizontal="center" vertical="center"/>
    </xf>
    <xf numFmtId="0" fontId="55" fillId="2" borderId="0" xfId="0" applyFont="1" applyFill="1" applyAlignment="1"/>
    <xf numFmtId="0" fontId="55" fillId="0" borderId="0" xfId="0" applyFont="1" applyAlignment="1"/>
    <xf numFmtId="0" fontId="59" fillId="3" borderId="18" xfId="0" applyFont="1" applyFill="1" applyBorder="1" applyAlignment="1">
      <alignment vertical="center" wrapText="1"/>
    </xf>
    <xf numFmtId="0" fontId="59" fillId="3" borderId="7" xfId="0" applyFont="1" applyFill="1" applyBorder="1" applyAlignment="1">
      <alignment vertical="center" wrapText="1"/>
    </xf>
    <xf numFmtId="0" fontId="59" fillId="3" borderId="0" xfId="0" applyFont="1" applyFill="1" applyBorder="1" applyAlignment="1">
      <alignment vertical="center" wrapText="1"/>
    </xf>
    <xf numFmtId="172" fontId="55" fillId="3" borderId="19" xfId="0" applyNumberFormat="1" applyFont="1" applyFill="1" applyBorder="1" applyAlignment="1">
      <alignment vertical="center" wrapText="1"/>
    </xf>
    <xf numFmtId="172" fontId="55" fillId="3" borderId="13" xfId="0" applyNumberFormat="1" applyFont="1" applyFill="1" applyBorder="1" applyAlignment="1">
      <alignment vertical="center" wrapText="1"/>
    </xf>
    <xf numFmtId="172" fontId="55" fillId="3" borderId="20" xfId="0" applyNumberFormat="1" applyFont="1" applyFill="1" applyBorder="1" applyAlignment="1">
      <alignment vertical="center" wrapText="1"/>
    </xf>
    <xf numFmtId="172" fontId="55" fillId="3" borderId="0" xfId="0" applyNumberFormat="1" applyFont="1" applyFill="1" applyBorder="1" applyAlignment="1">
      <alignment vertical="center" wrapText="1"/>
    </xf>
    <xf numFmtId="0" fontId="55" fillId="3" borderId="0" xfId="0" applyFont="1" applyFill="1" applyBorder="1" applyAlignment="1">
      <alignment horizontal="left" vertical="center" wrapText="1"/>
    </xf>
    <xf numFmtId="172" fontId="55" fillId="3" borderId="24" xfId="0" applyNumberFormat="1" applyFont="1" applyFill="1" applyBorder="1" applyAlignment="1">
      <alignment horizontal="left" vertical="center" wrapText="1"/>
    </xf>
    <xf numFmtId="172" fontId="55" fillId="3" borderId="0" xfId="0" applyNumberFormat="1" applyFont="1" applyFill="1" applyBorder="1" applyAlignment="1">
      <alignment horizontal="center" vertical="center" wrapText="1"/>
    </xf>
    <xf numFmtId="0" fontId="59" fillId="3" borderId="25" xfId="0" applyFont="1" applyFill="1" applyBorder="1" applyAlignment="1">
      <alignment vertical="center" wrapText="1"/>
    </xf>
    <xf numFmtId="0" fontId="59" fillId="3" borderId="26" xfId="0" applyFont="1" applyFill="1" applyBorder="1" applyAlignment="1">
      <alignment vertical="center" wrapText="1"/>
    </xf>
    <xf numFmtId="0" fontId="59" fillId="3" borderId="11" xfId="0" applyFont="1" applyFill="1" applyBorder="1" applyAlignment="1">
      <alignment vertical="center" wrapText="1"/>
    </xf>
    <xf numFmtId="0" fontId="55" fillId="3" borderId="0" xfId="0" applyFont="1" applyFill="1" applyBorder="1" applyAlignment="1">
      <alignment horizontal="center" vertical="center"/>
    </xf>
    <xf numFmtId="0" fontId="59" fillId="3" borderId="13" xfId="0" applyFont="1" applyFill="1" applyBorder="1" applyAlignment="1">
      <alignment horizontal="center" vertical="center"/>
    </xf>
    <xf numFmtId="174" fontId="55" fillId="10" borderId="32" xfId="1" applyNumberFormat="1" applyFont="1" applyFill="1" applyBorder="1" applyAlignment="1">
      <alignment horizontal="center" vertical="center" wrapText="1" readingOrder="1"/>
    </xf>
    <xf numFmtId="174" fontId="71" fillId="10" borderId="38" xfId="1" applyNumberFormat="1" applyFont="1" applyFill="1" applyBorder="1" applyAlignment="1">
      <alignment horizontal="center" vertical="center" wrapText="1"/>
    </xf>
    <xf numFmtId="0" fontId="55" fillId="0" borderId="0" xfId="0" applyFont="1" applyFill="1" applyAlignment="1"/>
    <xf numFmtId="174" fontId="55" fillId="10" borderId="10" xfId="1" applyNumberFormat="1" applyFont="1" applyFill="1" applyBorder="1" applyAlignment="1">
      <alignment horizontal="center" vertical="center" wrapText="1" readingOrder="1"/>
    </xf>
    <xf numFmtId="174" fontId="55" fillId="10" borderId="37" xfId="1" applyNumberFormat="1" applyFont="1" applyFill="1" applyBorder="1" applyAlignment="1">
      <alignment horizontal="center" vertical="center" wrapText="1" readingOrder="1"/>
    </xf>
    <xf numFmtId="0" fontId="55" fillId="0" borderId="34" xfId="0" applyFont="1" applyFill="1" applyBorder="1" applyAlignment="1">
      <alignment horizontal="justify" vertical="top" wrapText="1"/>
    </xf>
    <xf numFmtId="0" fontId="73" fillId="0" borderId="34" xfId="2566" applyFont="1" applyFill="1" applyBorder="1" applyAlignment="1">
      <alignment horizontal="center" vertical="center" wrapText="1"/>
    </xf>
    <xf numFmtId="14" fontId="55" fillId="2" borderId="34" xfId="0" applyNumberFormat="1" applyFont="1" applyFill="1" applyBorder="1" applyAlignment="1">
      <alignment horizontal="center" vertical="center" wrapText="1"/>
    </xf>
    <xf numFmtId="175" fontId="55" fillId="0" borderId="34" xfId="0" applyNumberFormat="1" applyFont="1" applyFill="1" applyBorder="1" applyAlignment="1">
      <alignment horizontal="center" vertical="center" wrapText="1"/>
    </xf>
    <xf numFmtId="14" fontId="55" fillId="0" borderId="34" xfId="0" applyNumberFormat="1" applyFont="1" applyFill="1" applyBorder="1" applyAlignment="1">
      <alignment horizontal="center" vertical="center" wrapText="1"/>
    </xf>
    <xf numFmtId="173" fontId="55" fillId="2" borderId="34" xfId="0" applyNumberFormat="1" applyFont="1" applyFill="1" applyBorder="1" applyAlignment="1">
      <alignment horizontal="center" vertical="center" wrapText="1"/>
    </xf>
    <xf numFmtId="3" fontId="55" fillId="0" borderId="34" xfId="0" applyNumberFormat="1" applyFont="1" applyFill="1" applyBorder="1" applyAlignment="1">
      <alignment horizontal="right" vertical="center" wrapText="1"/>
    </xf>
    <xf numFmtId="173" fontId="55" fillId="2" borderId="0" xfId="0" applyNumberFormat="1" applyFont="1" applyFill="1" applyAlignment="1"/>
    <xf numFmtId="0" fontId="55" fillId="2" borderId="36" xfId="0" applyFont="1" applyFill="1" applyBorder="1" applyAlignment="1">
      <alignment horizontal="center" vertical="center" wrapText="1"/>
    </xf>
    <xf numFmtId="0" fontId="55" fillId="2" borderId="34" xfId="0" applyFont="1" applyFill="1" applyBorder="1" applyAlignment="1">
      <alignment horizontal="justify" vertical="top" wrapText="1"/>
    </xf>
    <xf numFmtId="0" fontId="55" fillId="2" borderId="34" xfId="44" applyFont="1" applyFill="1" applyBorder="1" applyAlignment="1">
      <alignment horizontal="center" vertical="center" wrapText="1"/>
    </xf>
    <xf numFmtId="3" fontId="55" fillId="2" borderId="0" xfId="0" applyNumberFormat="1" applyFont="1" applyFill="1" applyAlignment="1"/>
    <xf numFmtId="0" fontId="55" fillId="10" borderId="34" xfId="0" applyFont="1" applyFill="1" applyBorder="1" applyAlignment="1">
      <alignment horizontal="justify" vertical="top" wrapText="1"/>
    </xf>
    <xf numFmtId="0" fontId="55" fillId="10" borderId="34" xfId="0" applyFont="1" applyFill="1" applyBorder="1" applyAlignment="1">
      <alignment horizontal="center" vertical="center" wrapText="1"/>
    </xf>
    <xf numFmtId="14" fontId="55" fillId="10" borderId="34" xfId="0" applyNumberFormat="1" applyFont="1" applyFill="1" applyBorder="1" applyAlignment="1">
      <alignment horizontal="center" vertical="center" wrapText="1"/>
    </xf>
    <xf numFmtId="173" fontId="55" fillId="10" borderId="34" xfId="0" applyNumberFormat="1" applyFont="1" applyFill="1" applyBorder="1" applyAlignment="1">
      <alignment horizontal="center" vertical="center" wrapText="1"/>
    </xf>
    <xf numFmtId="0" fontId="59" fillId="0" borderId="1" xfId="0" applyFont="1" applyFill="1" applyBorder="1" applyAlignment="1">
      <alignment vertical="center" wrapText="1"/>
    </xf>
    <xf numFmtId="0" fontId="59" fillId="10" borderId="38" xfId="0" applyFont="1" applyFill="1" applyBorder="1" applyAlignment="1">
      <alignment vertical="center" wrapText="1"/>
    </xf>
    <xf numFmtId="0" fontId="59" fillId="10" borderId="34" xfId="0" applyFont="1" applyFill="1" applyBorder="1" applyAlignment="1">
      <alignment horizontal="center" vertical="center" wrapText="1"/>
    </xf>
    <xf numFmtId="173" fontId="59" fillId="10" borderId="34" xfId="0" applyNumberFormat="1" applyFont="1" applyFill="1" applyBorder="1" applyAlignment="1">
      <alignment horizontal="center" vertical="center"/>
    </xf>
    <xf numFmtId="0" fontId="55" fillId="2" borderId="34" xfId="46" applyFont="1" applyFill="1" applyBorder="1" applyAlignment="1">
      <alignment horizontal="left" vertical="top" wrapText="1"/>
    </xf>
    <xf numFmtId="17" fontId="55" fillId="2" borderId="34" xfId="0" applyNumberFormat="1" applyFont="1" applyFill="1" applyBorder="1" applyAlignment="1">
      <alignment horizontal="center" vertical="center" wrapText="1"/>
    </xf>
    <xf numFmtId="175" fontId="55" fillId="2" borderId="34" xfId="0" applyNumberFormat="1" applyFont="1" applyFill="1" applyBorder="1" applyAlignment="1">
      <alignment horizontal="center" vertical="center" wrapText="1"/>
    </xf>
    <xf numFmtId="173" fontId="55" fillId="0" borderId="34" xfId="0" applyNumberFormat="1" applyFont="1" applyFill="1" applyBorder="1" applyAlignment="1">
      <alignment horizontal="center" vertical="center" wrapText="1"/>
    </xf>
    <xf numFmtId="0" fontId="55" fillId="10" borderId="37" xfId="0" applyFont="1" applyFill="1" applyBorder="1" applyAlignment="1">
      <alignment vertical="center" wrapText="1"/>
    </xf>
    <xf numFmtId="17" fontId="55" fillId="10" borderId="34" xfId="0" applyNumberFormat="1" applyFont="1" applyFill="1" applyBorder="1" applyAlignment="1">
      <alignment horizontal="center" vertical="center" wrapText="1"/>
    </xf>
    <xf numFmtId="175" fontId="55" fillId="10" borderId="34" xfId="0" applyNumberFormat="1" applyFont="1" applyFill="1" applyBorder="1" applyAlignment="1">
      <alignment horizontal="center" vertical="center" wrapText="1"/>
    </xf>
    <xf numFmtId="3" fontId="55" fillId="10" borderId="34" xfId="0" applyNumberFormat="1" applyFont="1" applyFill="1" applyBorder="1" applyAlignment="1">
      <alignment horizontal="right" vertical="center" wrapText="1"/>
    </xf>
    <xf numFmtId="3" fontId="55" fillId="2" borderId="34" xfId="46" applyNumberFormat="1" applyFont="1" applyFill="1" applyBorder="1" applyAlignment="1">
      <alignment horizontal="left" vertical="center" wrapText="1"/>
    </xf>
    <xf numFmtId="17" fontId="55" fillId="2" borderId="34" xfId="37" applyNumberFormat="1" applyFont="1" applyFill="1" applyBorder="1" applyAlignment="1">
      <alignment horizontal="center" vertical="center" wrapText="1"/>
    </xf>
    <xf numFmtId="175" fontId="55" fillId="2" borderId="34" xfId="31" applyNumberFormat="1" applyFont="1" applyFill="1" applyBorder="1" applyAlignment="1">
      <alignment horizontal="center" vertical="center" wrapText="1"/>
    </xf>
    <xf numFmtId="44" fontId="55" fillId="2" borderId="34" xfId="37" applyNumberFormat="1" applyFont="1" applyFill="1" applyBorder="1" applyAlignment="1">
      <alignment horizontal="center" vertical="center" wrapText="1"/>
    </xf>
    <xf numFmtId="0" fontId="55" fillId="0" borderId="34" xfId="46" applyFont="1" applyFill="1" applyBorder="1" applyAlignment="1">
      <alignment horizontal="left" vertical="top" wrapText="1"/>
    </xf>
    <xf numFmtId="0" fontId="55" fillId="0" borderId="10" xfId="0" applyFont="1" applyFill="1" applyBorder="1" applyAlignment="1">
      <alignment horizontal="center" vertical="center" wrapText="1"/>
    </xf>
    <xf numFmtId="17" fontId="55" fillId="0" borderId="34" xfId="0" applyNumberFormat="1" applyFont="1" applyFill="1" applyBorder="1" applyAlignment="1">
      <alignment horizontal="center" vertical="center" wrapText="1"/>
    </xf>
    <xf numFmtId="177" fontId="55" fillId="2" borderId="34" xfId="0" applyNumberFormat="1" applyFont="1" applyFill="1" applyBorder="1" applyAlignment="1">
      <alignment horizontal="center" vertical="center" wrapText="1"/>
    </xf>
    <xf numFmtId="177" fontId="55" fillId="0" borderId="34" xfId="0" applyNumberFormat="1" applyFont="1" applyFill="1" applyBorder="1" applyAlignment="1">
      <alignment horizontal="center" vertical="center" wrapText="1"/>
    </xf>
    <xf numFmtId="0" fontId="59" fillId="18" borderId="34" xfId="0" applyFont="1" applyFill="1" applyBorder="1" applyAlignment="1">
      <alignment horizontal="center" vertical="center" wrapText="1" readingOrder="1"/>
    </xf>
    <xf numFmtId="173" fontId="59" fillId="18" borderId="34" xfId="0" applyNumberFormat="1" applyFont="1" applyFill="1" applyBorder="1" applyAlignment="1">
      <alignment horizontal="center" vertical="center" wrapText="1"/>
    </xf>
    <xf numFmtId="0" fontId="71" fillId="0" borderId="34" xfId="0" applyFont="1" applyBorder="1" applyAlignment="1">
      <alignment vertical="center" wrapText="1"/>
    </xf>
    <xf numFmtId="0" fontId="55" fillId="0" borderId="34" xfId="0" applyFont="1" applyFill="1" applyBorder="1" applyAlignment="1">
      <alignment horizontal="center" vertical="center"/>
    </xf>
    <xf numFmtId="172" fontId="71" fillId="0" borderId="34" xfId="0" applyNumberFormat="1" applyFont="1" applyBorder="1" applyAlignment="1">
      <alignment vertical="center" wrapText="1"/>
    </xf>
    <xf numFmtId="176" fontId="55" fillId="0" borderId="34" xfId="0" applyNumberFormat="1" applyFont="1" applyFill="1" applyBorder="1" applyAlignment="1">
      <alignment horizontal="center" vertical="center" wrapText="1"/>
    </xf>
    <xf numFmtId="172" fontId="71" fillId="2" borderId="34" xfId="0" applyNumberFormat="1" applyFont="1" applyFill="1" applyBorder="1" applyAlignment="1">
      <alignment vertical="center" wrapText="1"/>
    </xf>
    <xf numFmtId="172" fontId="71" fillId="0" borderId="37" xfId="0" applyNumberFormat="1" applyFont="1" applyBorder="1" applyAlignment="1">
      <alignment vertical="center" wrapText="1"/>
    </xf>
    <xf numFmtId="178" fontId="55" fillId="0" borderId="34" xfId="0" applyNumberFormat="1" applyFont="1" applyFill="1" applyBorder="1" applyAlignment="1">
      <alignment horizontal="justify" vertical="top" wrapText="1"/>
    </xf>
    <xf numFmtId="176" fontId="55" fillId="2" borderId="34" xfId="0" applyNumberFormat="1" applyFont="1" applyFill="1" applyBorder="1" applyAlignment="1">
      <alignment horizontal="center" vertical="center" wrapText="1"/>
    </xf>
    <xf numFmtId="176" fontId="59" fillId="10" borderId="34" xfId="0" applyNumberFormat="1" applyFont="1" applyFill="1" applyBorder="1" applyAlignment="1">
      <alignment horizontal="center" vertical="center"/>
    </xf>
    <xf numFmtId="0" fontId="55" fillId="0" borderId="34" xfId="0" applyNumberFormat="1" applyFont="1" applyFill="1" applyBorder="1" applyAlignment="1">
      <alignment horizontal="justify" vertical="top" wrapText="1"/>
    </xf>
    <xf numFmtId="0" fontId="55" fillId="26" borderId="34" xfId="0" applyNumberFormat="1" applyFont="1" applyFill="1" applyBorder="1" applyAlignment="1">
      <alignment horizontal="justify" vertical="top" wrapText="1"/>
    </xf>
    <xf numFmtId="17" fontId="59" fillId="2" borderId="34" xfId="0" applyNumberFormat="1" applyFont="1" applyFill="1" applyBorder="1" applyAlignment="1">
      <alignment horizontal="center" vertical="center" wrapText="1"/>
    </xf>
    <xf numFmtId="175" fontId="59" fillId="2" borderId="34" xfId="0" applyNumberFormat="1" applyFont="1" applyFill="1" applyBorder="1" applyAlignment="1">
      <alignment horizontal="center" vertical="center" wrapText="1"/>
    </xf>
    <xf numFmtId="14" fontId="59" fillId="2" borderId="34" xfId="0" applyNumberFormat="1" applyFont="1" applyFill="1" applyBorder="1" applyAlignment="1">
      <alignment horizontal="center" vertical="center" wrapText="1"/>
    </xf>
    <xf numFmtId="177" fontId="59" fillId="2" borderId="34" xfId="0" applyNumberFormat="1" applyFont="1" applyFill="1" applyBorder="1" applyAlignment="1">
      <alignment horizontal="center" vertical="center" wrapText="1"/>
    </xf>
    <xf numFmtId="173" fontId="75" fillId="2" borderId="34" xfId="0" applyNumberFormat="1" applyFont="1" applyFill="1" applyBorder="1" applyAlignment="1">
      <alignment horizontal="center" vertical="center" wrapText="1"/>
    </xf>
    <xf numFmtId="0" fontId="55" fillId="10" borderId="34" xfId="0" applyNumberFormat="1" applyFont="1" applyFill="1" applyBorder="1" applyAlignment="1">
      <alignment horizontal="justify" vertical="top" wrapText="1"/>
    </xf>
    <xf numFmtId="177" fontId="55" fillId="10" borderId="34" xfId="0" applyNumberFormat="1" applyFont="1" applyFill="1" applyBorder="1" applyAlignment="1">
      <alignment horizontal="center" vertical="center" wrapText="1"/>
    </xf>
    <xf numFmtId="0" fontId="75" fillId="0" borderId="34" xfId="0" applyFont="1" applyFill="1" applyBorder="1" applyAlignment="1">
      <alignment horizontal="center" vertical="center" wrapText="1"/>
    </xf>
    <xf numFmtId="0" fontId="55" fillId="2" borderId="34" xfId="0" applyNumberFormat="1" applyFont="1" applyFill="1" applyBorder="1" applyAlignment="1">
      <alignment horizontal="justify" vertical="top" wrapText="1"/>
    </xf>
    <xf numFmtId="3" fontId="55" fillId="2" borderId="34" xfId="0" applyNumberFormat="1" applyFont="1" applyFill="1" applyBorder="1" applyAlignment="1">
      <alignment horizontal="justify" vertical="top" wrapText="1"/>
    </xf>
    <xf numFmtId="0" fontId="59" fillId="0" borderId="2" xfId="0" applyFont="1" applyFill="1" applyBorder="1" applyAlignment="1">
      <alignment vertical="center" wrapText="1"/>
    </xf>
    <xf numFmtId="176" fontId="55" fillId="2" borderId="0" xfId="0" applyNumberFormat="1" applyFont="1" applyFill="1" applyAlignment="1"/>
    <xf numFmtId="3" fontId="59" fillId="2" borderId="34" xfId="0" applyNumberFormat="1" applyFont="1" applyFill="1" applyBorder="1" applyAlignment="1">
      <alignment horizontal="right" vertical="center" wrapText="1"/>
    </xf>
    <xf numFmtId="176" fontId="55" fillId="2" borderId="34" xfId="0" applyNumberFormat="1" applyFont="1" applyFill="1" applyBorder="1" applyAlignment="1">
      <alignment horizontal="center" vertical="center"/>
    </xf>
    <xf numFmtId="0" fontId="59" fillId="2" borderId="3" xfId="0" applyFont="1" applyFill="1" applyBorder="1" applyAlignment="1">
      <alignment horizontal="center" vertical="center" wrapText="1"/>
    </xf>
    <xf numFmtId="176" fontId="59" fillId="2" borderId="34" xfId="0" applyNumberFormat="1" applyFont="1" applyFill="1" applyBorder="1" applyAlignment="1">
      <alignment horizontal="center" vertical="center"/>
    </xf>
    <xf numFmtId="0" fontId="55" fillId="0" borderId="1" xfId="0" applyFont="1" applyFill="1" applyBorder="1" applyAlignment="1">
      <alignment horizontal="center" vertical="center" wrapText="1"/>
    </xf>
    <xf numFmtId="0" fontId="55" fillId="10" borderId="36" xfId="0" applyNumberFormat="1" applyFont="1" applyFill="1" applyBorder="1" applyAlignment="1">
      <alignment horizontal="justify" vertical="top" wrapText="1"/>
    </xf>
    <xf numFmtId="0" fontId="73" fillId="10" borderId="34" xfId="2566" applyFont="1" applyFill="1" applyBorder="1" applyAlignment="1">
      <alignment horizontal="center" vertical="center" wrapText="1"/>
    </xf>
    <xf numFmtId="176" fontId="55" fillId="10" borderId="34" xfId="0" applyNumberFormat="1" applyFont="1" applyFill="1" applyBorder="1" applyAlignment="1">
      <alignment horizontal="center" vertical="center" wrapText="1"/>
    </xf>
    <xf numFmtId="0" fontId="55" fillId="0" borderId="36" xfId="0" applyNumberFormat="1" applyFont="1" applyFill="1" applyBorder="1" applyAlignment="1">
      <alignment horizontal="justify" vertical="top" wrapText="1"/>
    </xf>
    <xf numFmtId="0" fontId="59" fillId="0" borderId="34" xfId="0" applyFont="1" applyFill="1" applyBorder="1" applyAlignment="1">
      <alignment vertical="center" wrapText="1"/>
    </xf>
    <xf numFmtId="179" fontId="55" fillId="2" borderId="34" xfId="2" applyNumberFormat="1" applyFont="1" applyFill="1" applyBorder="1" applyAlignment="1">
      <alignment horizontal="center" vertical="center"/>
    </xf>
    <xf numFmtId="0" fontId="59" fillId="23" borderId="34" xfId="0" applyFont="1" applyFill="1" applyBorder="1" applyAlignment="1">
      <alignment horizontal="center" vertical="center" wrapText="1" readingOrder="1"/>
    </xf>
    <xf numFmtId="176" fontId="59" fillId="18" borderId="34" xfId="0" applyNumberFormat="1" applyFont="1" applyFill="1" applyBorder="1" applyAlignment="1">
      <alignment horizontal="center" vertical="center" wrapText="1"/>
    </xf>
    <xf numFmtId="0" fontId="59" fillId="0" borderId="37" xfId="0" applyFont="1" applyFill="1" applyBorder="1" applyAlignment="1">
      <alignment horizontal="center" vertical="center" wrapText="1" readingOrder="1"/>
    </xf>
    <xf numFmtId="0" fontId="59" fillId="0" borderId="1" xfId="0" applyFont="1" applyFill="1" applyBorder="1" applyAlignment="1">
      <alignment vertical="center" textRotation="90" wrapText="1" readingOrder="1"/>
    </xf>
    <xf numFmtId="0" fontId="59" fillId="10" borderId="36" xfId="0" applyFont="1" applyFill="1" applyBorder="1" applyAlignment="1">
      <alignment vertical="center" wrapText="1"/>
    </xf>
    <xf numFmtId="0" fontId="59" fillId="2" borderId="38" xfId="0" applyFont="1" applyFill="1" applyBorder="1" applyAlignment="1">
      <alignment vertical="center" wrapText="1" readingOrder="1"/>
    </xf>
    <xf numFmtId="0" fontId="59" fillId="2" borderId="34" xfId="0" applyFont="1" applyFill="1" applyBorder="1" applyAlignment="1">
      <alignment horizontal="center" vertical="center" wrapText="1" readingOrder="1"/>
    </xf>
    <xf numFmtId="176" fontId="59" fillId="2" borderId="34" xfId="0" applyNumberFormat="1" applyFont="1" applyFill="1" applyBorder="1" applyAlignment="1">
      <alignment horizontal="center" vertical="center" wrapText="1"/>
    </xf>
    <xf numFmtId="0" fontId="59" fillId="2" borderId="38" xfId="0" applyFont="1" applyFill="1" applyBorder="1" applyAlignment="1">
      <alignment vertical="center" wrapText="1"/>
    </xf>
    <xf numFmtId="3" fontId="55" fillId="0" borderId="0" xfId="0" applyNumberFormat="1" applyFont="1" applyFill="1" applyAlignment="1"/>
    <xf numFmtId="0" fontId="55" fillId="0" borderId="0" xfId="0" applyFont="1" applyFill="1" applyBorder="1" applyAlignment="1">
      <alignment horizontal="center" vertical="center" wrapText="1"/>
    </xf>
    <xf numFmtId="0" fontId="55" fillId="0" borderId="0" xfId="0" applyFont="1" applyFill="1" applyBorder="1" applyAlignment="1">
      <alignment horizontal="justify" vertical="top" wrapText="1"/>
    </xf>
    <xf numFmtId="3" fontId="55" fillId="0" borderId="0" xfId="0" applyNumberFormat="1" applyFont="1" applyFill="1" applyBorder="1" applyAlignment="1">
      <alignment horizontal="center" vertical="center" wrapText="1"/>
    </xf>
    <xf numFmtId="3" fontId="76" fillId="2" borderId="0" xfId="0" applyNumberFormat="1" applyFont="1" applyFill="1" applyBorder="1" applyAlignment="1">
      <alignment horizontal="center" vertical="center"/>
    </xf>
    <xf numFmtId="3" fontId="55" fillId="2" borderId="0" xfId="0" applyNumberFormat="1" applyFont="1" applyFill="1" applyBorder="1" applyAlignment="1">
      <alignment horizontal="center" vertical="center"/>
    </xf>
    <xf numFmtId="3" fontId="75" fillId="2" borderId="0" xfId="0" applyNumberFormat="1" applyFont="1" applyFill="1" applyBorder="1" applyAlignment="1">
      <alignment horizontal="center" vertical="center"/>
    </xf>
    <xf numFmtId="176" fontId="75" fillId="2" borderId="0" xfId="0" applyNumberFormat="1" applyFont="1" applyFill="1" applyBorder="1" applyAlignment="1">
      <alignment horizontal="center" vertical="center"/>
    </xf>
    <xf numFmtId="0" fontId="55" fillId="0" borderId="0" xfId="0" applyFont="1" applyFill="1" applyBorder="1" applyAlignment="1">
      <alignment horizontal="justify" vertical="top"/>
    </xf>
    <xf numFmtId="174" fontId="55" fillId="0" borderId="0" xfId="0" applyNumberFormat="1" applyFont="1" applyFill="1" applyBorder="1" applyAlignment="1">
      <alignment horizontal="center" vertical="center"/>
    </xf>
    <xf numFmtId="176" fontId="55" fillId="2" borderId="0" xfId="0" applyNumberFormat="1" applyFont="1" applyFill="1" applyBorder="1" applyAlignment="1">
      <alignment horizontal="center" vertical="center"/>
    </xf>
    <xf numFmtId="174" fontId="55" fillId="2" borderId="0" xfId="0" applyNumberFormat="1" applyFont="1" applyFill="1" applyBorder="1" applyAlignment="1">
      <alignment horizontal="center" vertical="center"/>
    </xf>
    <xf numFmtId="0" fontId="55" fillId="2" borderId="0" xfId="44" applyFont="1" applyFill="1" applyAlignment="1">
      <alignment horizontal="center" vertical="center"/>
    </xf>
    <xf numFmtId="171" fontId="57" fillId="2" borderId="0" xfId="1" applyNumberFormat="1" applyFont="1" applyFill="1" applyBorder="1" applyAlignment="1" applyProtection="1">
      <alignment vertical="center"/>
    </xf>
    <xf numFmtId="176" fontId="55" fillId="2" borderId="0" xfId="44" applyNumberFormat="1" applyFont="1" applyFill="1" applyAlignment="1">
      <alignment horizontal="center" vertical="center"/>
    </xf>
    <xf numFmtId="0" fontId="55" fillId="2" borderId="0" xfId="44" applyFont="1" applyFill="1" applyBorder="1" applyAlignment="1">
      <alignment vertical="center" wrapText="1"/>
    </xf>
    <xf numFmtId="3" fontId="72" fillId="2" borderId="0" xfId="0" applyNumberFormat="1" applyFont="1" applyFill="1" applyAlignment="1">
      <alignment vertical="center"/>
    </xf>
    <xf numFmtId="0" fontId="59" fillId="2" borderId="0" xfId="44" applyFont="1" applyFill="1" applyAlignment="1">
      <alignment horizontal="center" vertical="center"/>
    </xf>
    <xf numFmtId="0" fontId="55" fillId="2" borderId="0" xfId="44" applyFont="1" applyFill="1" applyBorder="1" applyAlignment="1">
      <alignment horizontal="center" vertical="center" wrapText="1"/>
    </xf>
    <xf numFmtId="0" fontId="55" fillId="2" borderId="0" xfId="44" applyFont="1" applyFill="1" applyAlignment="1">
      <alignment vertical="center"/>
    </xf>
    <xf numFmtId="0" fontId="72" fillId="2" borderId="0" xfId="0" applyFont="1" applyFill="1" applyAlignment="1">
      <alignment horizontal="center" vertical="center"/>
    </xf>
    <xf numFmtId="0" fontId="59" fillId="2" borderId="0" xfId="44" applyFont="1" applyFill="1" applyBorder="1" applyAlignment="1">
      <alignment vertical="center"/>
    </xf>
    <xf numFmtId="0" fontId="55" fillId="3" borderId="0" xfId="0" applyFont="1" applyFill="1" applyBorder="1" applyAlignment="1">
      <alignment horizontal="justify" vertical="top"/>
    </xf>
    <xf numFmtId="0" fontId="55" fillId="0" borderId="0" xfId="0" applyFont="1" applyAlignment="1">
      <alignment horizontal="justify" vertical="top"/>
    </xf>
    <xf numFmtId="0" fontId="54" fillId="3" borderId="0" xfId="0" applyFont="1" applyFill="1" applyBorder="1" applyAlignment="1">
      <alignment vertical="center"/>
    </xf>
    <xf numFmtId="169" fontId="54" fillId="3" borderId="5" xfId="0" applyNumberFormat="1" applyFont="1" applyFill="1" applyBorder="1" applyAlignment="1">
      <alignment vertical="center"/>
    </xf>
    <xf numFmtId="169" fontId="54" fillId="3" borderId="6" xfId="0" applyNumberFormat="1" applyFont="1" applyFill="1" applyBorder="1" applyAlignment="1">
      <alignment vertical="center"/>
    </xf>
    <xf numFmtId="169" fontId="54" fillId="3" borderId="0" xfId="0" applyNumberFormat="1" applyFont="1" applyFill="1" applyBorder="1" applyAlignment="1">
      <alignment vertical="center"/>
    </xf>
    <xf numFmtId="0" fontId="38" fillId="0" borderId="0" xfId="0" applyFont="1" applyAlignment="1"/>
    <xf numFmtId="14" fontId="38" fillId="0" borderId="0" xfId="0" applyNumberFormat="1" applyFont="1" applyAlignment="1"/>
    <xf numFmtId="0" fontId="52" fillId="3" borderId="6" xfId="0" applyFont="1" applyFill="1" applyBorder="1" applyAlignment="1">
      <alignment vertical="center"/>
    </xf>
    <xf numFmtId="0" fontId="52" fillId="3" borderId="0" xfId="0" applyFont="1" applyFill="1" applyBorder="1" applyAlignment="1">
      <alignment horizontal="center" vertical="center"/>
    </xf>
    <xf numFmtId="169" fontId="52" fillId="3" borderId="6" xfId="0" applyNumberFormat="1" applyFont="1" applyFill="1" applyBorder="1" applyAlignment="1">
      <alignment horizontal="center" vertical="center"/>
    </xf>
    <xf numFmtId="169" fontId="52" fillId="3" borderId="0" xfId="0" applyNumberFormat="1" applyFont="1" applyFill="1" applyBorder="1" applyAlignment="1">
      <alignment horizontal="center" vertical="center"/>
    </xf>
    <xf numFmtId="0" fontId="54" fillId="3" borderId="0" xfId="0" applyFont="1" applyFill="1" applyBorder="1" applyAlignment="1">
      <alignment vertical="center" wrapText="1"/>
    </xf>
    <xf numFmtId="0" fontId="54" fillId="3" borderId="0" xfId="0" applyFont="1" applyFill="1" applyBorder="1" applyAlignment="1">
      <alignment horizontal="center" vertical="center"/>
    </xf>
    <xf numFmtId="169" fontId="54" fillId="3" borderId="0" xfId="0" applyNumberFormat="1" applyFont="1" applyFill="1" applyBorder="1" applyAlignment="1">
      <alignment horizontal="justify" vertical="justify"/>
    </xf>
    <xf numFmtId="169" fontId="54" fillId="3" borderId="0" xfId="0" applyNumberFormat="1" applyFont="1" applyFill="1" applyBorder="1" applyAlignment="1">
      <alignment horizontal="center" vertical="center"/>
    </xf>
    <xf numFmtId="0" fontId="54" fillId="3" borderId="35" xfId="0" applyFont="1" applyFill="1" applyBorder="1" applyAlignment="1">
      <alignment vertical="center"/>
    </xf>
    <xf numFmtId="0" fontId="54" fillId="3" borderId="36" xfId="0" applyFont="1" applyFill="1" applyBorder="1" applyAlignment="1">
      <alignment vertical="center"/>
    </xf>
    <xf numFmtId="0" fontId="54" fillId="3" borderId="36" xfId="0" applyFont="1" applyFill="1" applyBorder="1" applyAlignment="1">
      <alignment horizontal="center" vertical="center"/>
    </xf>
    <xf numFmtId="0" fontId="54" fillId="3" borderId="0" xfId="0" applyFont="1" applyFill="1" applyBorder="1" applyAlignment="1">
      <alignment horizontal="left" vertical="center"/>
    </xf>
    <xf numFmtId="0" fontId="52" fillId="3" borderId="36" xfId="0" applyFont="1" applyFill="1" applyBorder="1" applyAlignment="1">
      <alignment horizontal="left" vertical="center"/>
    </xf>
    <xf numFmtId="0" fontId="52" fillId="3" borderId="0" xfId="0" applyFont="1" applyFill="1" applyBorder="1" applyAlignment="1">
      <alignment horizontal="left" vertical="center"/>
    </xf>
    <xf numFmtId="0" fontId="54" fillId="3" borderId="38" xfId="0" applyFont="1" applyFill="1" applyBorder="1" applyAlignment="1">
      <alignment horizontal="left" vertical="center"/>
    </xf>
    <xf numFmtId="0" fontId="54" fillId="3" borderId="27" xfId="0" applyFont="1" applyFill="1" applyBorder="1" applyAlignment="1">
      <alignment horizontal="left" vertical="center"/>
    </xf>
    <xf numFmtId="0" fontId="54" fillId="3" borderId="34" xfId="0" applyFont="1" applyFill="1" applyBorder="1" applyAlignment="1">
      <alignment horizontal="left" vertical="center"/>
    </xf>
    <xf numFmtId="0" fontId="54" fillId="3" borderId="35" xfId="0" applyFont="1" applyFill="1" applyBorder="1" applyAlignment="1">
      <alignment horizontal="left" vertical="center"/>
    </xf>
    <xf numFmtId="0" fontId="38" fillId="4" borderId="34" xfId="0" applyFont="1" applyFill="1" applyBorder="1" applyAlignment="1"/>
    <xf numFmtId="0" fontId="38" fillId="4" borderId="34" xfId="0" applyFont="1" applyFill="1" applyBorder="1" applyAlignment="1">
      <alignment wrapText="1"/>
    </xf>
    <xf numFmtId="172" fontId="45" fillId="4" borderId="38" xfId="0" applyNumberFormat="1" applyFont="1" applyFill="1" applyBorder="1" applyAlignment="1">
      <alignment horizontal="center" vertical="center" wrapText="1"/>
    </xf>
    <xf numFmtId="0" fontId="16" fillId="6" borderId="34"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45" fillId="2" borderId="34" xfId="0" applyFont="1" applyFill="1" applyBorder="1" applyAlignment="1">
      <alignment horizontal="center" vertical="center" wrapText="1"/>
    </xf>
    <xf numFmtId="0" fontId="45" fillId="2" borderId="34" xfId="652" applyFont="1" applyFill="1" applyBorder="1" applyAlignment="1">
      <alignment horizontal="center" vertical="center"/>
    </xf>
    <xf numFmtId="169" fontId="16" fillId="2" borderId="34" xfId="0" applyNumberFormat="1" applyFont="1" applyFill="1" applyBorder="1" applyAlignment="1">
      <alignment horizontal="center" vertical="center" wrapText="1"/>
    </xf>
    <xf numFmtId="14" fontId="38" fillId="0" borderId="34" xfId="0" applyNumberFormat="1" applyFont="1" applyBorder="1" applyAlignment="1">
      <alignment vertical="center"/>
    </xf>
    <xf numFmtId="0" fontId="38" fillId="0" borderId="34" xfId="0" applyFont="1" applyBorder="1" applyAlignment="1">
      <alignment horizontal="center" vertical="center"/>
    </xf>
    <xf numFmtId="0" fontId="38" fillId="0" borderId="34" xfId="0" applyFont="1" applyBorder="1" applyAlignment="1">
      <alignment vertical="center"/>
    </xf>
    <xf numFmtId="0" fontId="38" fillId="0" borderId="34" xfId="0" applyFont="1" applyBorder="1" applyAlignment="1"/>
    <xf numFmtId="3" fontId="38" fillId="0" borderId="0" xfId="0" applyNumberFormat="1" applyFont="1" applyAlignment="1"/>
    <xf numFmtId="0" fontId="38" fillId="0" borderId="34" xfId="0" applyFont="1" applyBorder="1" applyAlignment="1">
      <alignment vertical="center" wrapText="1"/>
    </xf>
    <xf numFmtId="0" fontId="51" fillId="8" borderId="36" xfId="0" applyFont="1" applyFill="1" applyBorder="1" applyAlignment="1">
      <alignment vertical="center" wrapText="1"/>
    </xf>
    <xf numFmtId="0" fontId="51" fillId="8" borderId="38" xfId="0" applyFont="1" applyFill="1" applyBorder="1" applyAlignment="1">
      <alignment vertical="center" wrapText="1"/>
    </xf>
    <xf numFmtId="3" fontId="44" fillId="19" borderId="34" xfId="3" applyNumberFormat="1" applyFont="1" applyFill="1" applyBorder="1" applyAlignment="1" applyProtection="1">
      <alignment horizontal="center" vertical="center" wrapText="1"/>
    </xf>
    <xf numFmtId="14" fontId="44" fillId="19" borderId="34" xfId="3" applyNumberFormat="1" applyFont="1" applyFill="1" applyBorder="1" applyAlignment="1" applyProtection="1">
      <alignment horizontal="right" vertical="center" wrapText="1"/>
    </xf>
    <xf numFmtId="0" fontId="38" fillId="10" borderId="34" xfId="0" applyFont="1" applyFill="1" applyBorder="1" applyAlignment="1"/>
    <xf numFmtId="171" fontId="79" fillId="10" borderId="34" xfId="1" applyNumberFormat="1" applyFont="1" applyFill="1" applyBorder="1"/>
    <xf numFmtId="171" fontId="80" fillId="10" borderId="34" xfId="0" applyNumberFormat="1" applyFont="1" applyFill="1" applyBorder="1" applyAlignment="1"/>
    <xf numFmtId="0" fontId="51" fillId="9" borderId="36" xfId="0" applyFont="1" applyFill="1" applyBorder="1" applyAlignment="1">
      <alignment vertical="center" wrapText="1"/>
    </xf>
    <xf numFmtId="0" fontId="51" fillId="9" borderId="38" xfId="0" applyFont="1" applyFill="1" applyBorder="1" applyAlignment="1">
      <alignment vertical="center" wrapText="1"/>
    </xf>
    <xf numFmtId="3" fontId="51" fillId="9" borderId="34" xfId="0" applyNumberFormat="1" applyFont="1" applyFill="1" applyBorder="1" applyAlignment="1">
      <alignment horizontal="center" vertical="center" wrapText="1"/>
    </xf>
    <xf numFmtId="14" fontId="51" fillId="9" borderId="34" xfId="0" applyNumberFormat="1" applyFont="1" applyFill="1" applyBorder="1" applyAlignment="1">
      <alignment vertical="center" wrapText="1"/>
    </xf>
    <xf numFmtId="0" fontId="38" fillId="12" borderId="34" xfId="0" applyFont="1" applyFill="1" applyBorder="1" applyAlignment="1"/>
    <xf numFmtId="171" fontId="80" fillId="12" borderId="34" xfId="0" applyNumberFormat="1" applyFont="1" applyFill="1" applyBorder="1" applyAlignment="1"/>
    <xf numFmtId="0" fontId="63" fillId="2" borderId="34" xfId="2566" applyFont="1" applyFill="1" applyBorder="1" applyAlignment="1">
      <alignment horizontal="center" vertical="center" wrapText="1"/>
    </xf>
    <xf numFmtId="14" fontId="38" fillId="0" borderId="34" xfId="0" applyNumberFormat="1" applyFont="1" applyBorder="1" applyAlignment="1">
      <alignment horizontal="left" vertical="center"/>
    </xf>
    <xf numFmtId="0" fontId="38" fillId="0" borderId="34" xfId="0" applyFont="1" applyBorder="1" applyAlignment="1">
      <alignment horizontal="center"/>
    </xf>
    <xf numFmtId="14" fontId="38" fillId="0" borderId="34" xfId="0" applyNumberFormat="1" applyFont="1" applyBorder="1" applyAlignment="1">
      <alignment horizontal="left"/>
    </xf>
    <xf numFmtId="0" fontId="45" fillId="6" borderId="34" xfId="0" applyFont="1" applyFill="1" applyBorder="1" applyAlignment="1">
      <alignment horizontal="center" vertical="center" wrapText="1"/>
    </xf>
    <xf numFmtId="169" fontId="16" fillId="6" borderId="34" xfId="0" applyNumberFormat="1" applyFont="1" applyFill="1" applyBorder="1" applyAlignment="1">
      <alignment horizontal="center" vertical="center" wrapText="1"/>
    </xf>
    <xf numFmtId="1" fontId="16" fillId="6" borderId="34" xfId="0" applyNumberFormat="1" applyFont="1" applyFill="1" applyBorder="1" applyAlignment="1">
      <alignment horizontal="center" vertical="center" wrapText="1"/>
    </xf>
    <xf numFmtId="169" fontId="45" fillId="6" borderId="34" xfId="0" applyNumberFormat="1" applyFont="1" applyFill="1" applyBorder="1" applyAlignment="1">
      <alignment horizontal="center" vertical="center" wrapText="1"/>
    </xf>
    <xf numFmtId="0" fontId="16" fillId="0" borderId="34" xfId="0" applyFont="1" applyFill="1" applyBorder="1" applyAlignment="1">
      <alignment horizontal="center" vertical="center" wrapText="1"/>
    </xf>
    <xf numFmtId="169" fontId="45" fillId="2" borderId="34" xfId="0" applyNumberFormat="1" applyFont="1" applyFill="1" applyBorder="1" applyAlignment="1">
      <alignment horizontal="center" vertical="center" wrapText="1"/>
    </xf>
    <xf numFmtId="1" fontId="16" fillId="2" borderId="34" xfId="0" applyNumberFormat="1" applyFont="1" applyFill="1" applyBorder="1" applyAlignment="1">
      <alignment horizontal="center" vertical="center" wrapText="1"/>
    </xf>
    <xf numFmtId="14" fontId="38" fillId="2" borderId="34" xfId="0" applyNumberFormat="1" applyFont="1" applyFill="1" applyBorder="1" applyAlignment="1">
      <alignment horizontal="left" vertical="center"/>
    </xf>
    <xf numFmtId="0" fontId="38" fillId="2" borderId="34" xfId="0" applyFont="1" applyFill="1" applyBorder="1" applyAlignment="1">
      <alignment horizontal="center"/>
    </xf>
    <xf numFmtId="0" fontId="38" fillId="2" borderId="34" xfId="0" applyFont="1" applyFill="1" applyBorder="1" applyAlignment="1"/>
    <xf numFmtId="3" fontId="38" fillId="0" borderId="34" xfId="0" applyNumberFormat="1" applyFont="1" applyBorder="1" applyAlignment="1">
      <alignment vertical="center"/>
    </xf>
    <xf numFmtId="0" fontId="16" fillId="6" borderId="1" xfId="0" applyFont="1" applyFill="1" applyBorder="1" applyAlignment="1">
      <alignment vertical="center" wrapText="1"/>
    </xf>
    <xf numFmtId="171" fontId="42" fillId="10" borderId="0" xfId="1" applyNumberFormat="1" applyFont="1" applyFill="1"/>
    <xf numFmtId="0" fontId="16" fillId="6" borderId="37" xfId="0" applyFont="1" applyFill="1" applyBorder="1" applyAlignment="1">
      <alignment vertical="center" textRotation="90" wrapText="1"/>
    </xf>
    <xf numFmtId="0" fontId="16" fillId="6" borderId="2" xfId="0" applyFont="1" applyFill="1" applyBorder="1" applyAlignment="1">
      <alignment vertical="center" textRotation="90" wrapText="1"/>
    </xf>
    <xf numFmtId="0" fontId="45" fillId="22" borderId="34" xfId="0" applyFont="1" applyFill="1" applyBorder="1" applyAlignment="1">
      <alignment horizontal="center" vertical="center" wrapText="1"/>
    </xf>
    <xf numFmtId="3" fontId="16" fillId="20" borderId="34" xfId="0" applyNumberFormat="1" applyFont="1" applyFill="1" applyBorder="1" applyAlignment="1">
      <alignment horizontal="right" vertical="center"/>
    </xf>
    <xf numFmtId="3" fontId="16" fillId="20" borderId="34" xfId="0" applyNumberFormat="1" applyFont="1" applyFill="1" applyBorder="1" applyAlignment="1">
      <alignment horizontal="center" vertical="center"/>
    </xf>
    <xf numFmtId="14" fontId="16" fillId="20" borderId="34" xfId="0" applyNumberFormat="1" applyFont="1" applyFill="1" applyBorder="1" applyAlignment="1">
      <alignment horizontal="right" vertical="center"/>
    </xf>
    <xf numFmtId="169" fontId="16" fillId="21" borderId="34" xfId="0" applyNumberFormat="1" applyFont="1" applyFill="1" applyBorder="1" applyAlignment="1">
      <alignment horizontal="center" vertical="center" wrapText="1"/>
    </xf>
    <xf numFmtId="3" fontId="51" fillId="8" borderId="34" xfId="0" applyNumberFormat="1" applyFont="1" applyFill="1" applyBorder="1" applyAlignment="1">
      <alignment horizontal="center" vertical="center"/>
    </xf>
    <xf numFmtId="14" fontId="51" fillId="8" borderId="34" xfId="0" applyNumberFormat="1" applyFont="1" applyFill="1" applyBorder="1" applyAlignment="1">
      <alignment horizontal="right" vertical="center"/>
    </xf>
    <xf numFmtId="0" fontId="45" fillId="0" borderId="34" xfId="0" applyFont="1" applyFill="1" applyBorder="1" applyAlignment="1">
      <alignment horizontal="center" vertical="center" wrapText="1"/>
    </xf>
    <xf numFmtId="0" fontId="16" fillId="6" borderId="36" xfId="0" applyFont="1" applyFill="1" applyBorder="1" applyAlignment="1">
      <alignment horizontal="center" vertical="center" wrapText="1"/>
    </xf>
    <xf numFmtId="0" fontId="16" fillId="20" borderId="38" xfId="0" applyFont="1" applyFill="1" applyBorder="1" applyAlignment="1">
      <alignment horizontal="center" vertical="center" wrapText="1"/>
    </xf>
    <xf numFmtId="172" fontId="45" fillId="2" borderId="34" xfId="0" applyNumberFormat="1" applyFont="1" applyFill="1" applyBorder="1" applyAlignment="1">
      <alignment vertical="center" wrapText="1"/>
    </xf>
    <xf numFmtId="3" fontId="16" fillId="20" borderId="34" xfId="0" applyNumberFormat="1" applyFont="1" applyFill="1" applyBorder="1" applyAlignment="1">
      <alignment horizontal="left" vertical="center"/>
    </xf>
    <xf numFmtId="0" fontId="45" fillId="0" borderId="37"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45" fillId="0" borderId="37" xfId="0" applyFont="1" applyFill="1" applyBorder="1" applyAlignment="1">
      <alignment vertical="center" wrapText="1"/>
    </xf>
    <xf numFmtId="0" fontId="45" fillId="22" borderId="37" xfId="0" applyFont="1" applyFill="1" applyBorder="1" applyAlignment="1">
      <alignment horizontal="center" vertical="center" wrapText="1"/>
    </xf>
    <xf numFmtId="0" fontId="16" fillId="20" borderId="37" xfId="0" applyFont="1" applyFill="1" applyBorder="1" applyAlignment="1">
      <alignment horizontal="center" vertical="center" wrapText="1"/>
    </xf>
    <xf numFmtId="0" fontId="45" fillId="2" borderId="37" xfId="0" applyFont="1" applyFill="1" applyBorder="1" applyAlignment="1">
      <alignment horizontal="center" vertical="center" wrapText="1"/>
    </xf>
    <xf numFmtId="169" fontId="16" fillId="2" borderId="37" xfId="0" applyNumberFormat="1" applyFont="1" applyFill="1" applyBorder="1" applyAlignment="1">
      <alignment horizontal="center" vertical="center" wrapText="1"/>
    </xf>
    <xf numFmtId="0" fontId="81" fillId="6" borderId="34" xfId="0" applyFont="1" applyFill="1" applyBorder="1" applyAlignment="1">
      <alignment horizontal="center" vertical="center" wrapText="1"/>
    </xf>
    <xf numFmtId="0" fontId="45" fillId="6" borderId="37" xfId="0" applyFont="1" applyFill="1" applyBorder="1" applyAlignment="1">
      <alignment horizontal="center" vertical="center" wrapText="1"/>
    </xf>
    <xf numFmtId="3" fontId="44" fillId="2" borderId="34" xfId="0" applyNumberFormat="1" applyFont="1" applyFill="1" applyBorder="1" applyAlignment="1">
      <alignment horizontal="center" vertical="center" wrapText="1"/>
    </xf>
    <xf numFmtId="3" fontId="82" fillId="2" borderId="34" xfId="35" applyNumberFormat="1" applyFont="1" applyFill="1" applyBorder="1" applyAlignment="1">
      <alignment vertical="center" wrapText="1"/>
    </xf>
    <xf numFmtId="3" fontId="45" fillId="7" borderId="34" xfId="3" applyNumberFormat="1" applyFont="1" applyFill="1" applyBorder="1" applyAlignment="1" applyProtection="1">
      <alignment horizontal="right" vertical="center" wrapText="1"/>
    </xf>
    <xf numFmtId="3" fontId="45" fillId="6" borderId="34" xfId="0" applyNumberFormat="1" applyFont="1" applyFill="1" applyBorder="1" applyAlignment="1">
      <alignment horizontal="right" vertical="center" wrapText="1"/>
    </xf>
    <xf numFmtId="171" fontId="0" fillId="10" borderId="34" xfId="1" applyNumberFormat="1" applyFont="1" applyFill="1" applyBorder="1"/>
    <xf numFmtId="171" fontId="0" fillId="0" borderId="34" xfId="1" applyNumberFormat="1" applyFont="1" applyBorder="1"/>
    <xf numFmtId="3" fontId="16" fillId="20" borderId="34" xfId="0" applyNumberFormat="1" applyFont="1" applyFill="1" applyBorder="1" applyAlignment="1">
      <alignment horizontal="left" vertical="center" wrapText="1"/>
    </xf>
    <xf numFmtId="171" fontId="0" fillId="26" borderId="34" xfId="1" applyNumberFormat="1" applyFont="1" applyFill="1" applyBorder="1"/>
    <xf numFmtId="171" fontId="42" fillId="10" borderId="34" xfId="1" applyNumberFormat="1" applyFont="1" applyFill="1" applyBorder="1"/>
    <xf numFmtId="0" fontId="83" fillId="6" borderId="34" xfId="0" applyFont="1" applyFill="1" applyBorder="1" applyAlignment="1">
      <alignment horizontal="center" vertical="center" wrapText="1"/>
    </xf>
    <xf numFmtId="171" fontId="38" fillId="0" borderId="0" xfId="0" applyNumberFormat="1" applyFont="1" applyAlignment="1"/>
    <xf numFmtId="3" fontId="51" fillId="11" borderId="34" xfId="0" applyNumberFormat="1" applyFont="1" applyFill="1" applyBorder="1" applyAlignment="1">
      <alignment horizontal="right" vertical="center"/>
    </xf>
    <xf numFmtId="3" fontId="51" fillId="11" borderId="34" xfId="0" applyNumberFormat="1" applyFont="1" applyFill="1" applyBorder="1" applyAlignment="1">
      <alignment horizontal="center" vertical="center"/>
    </xf>
    <xf numFmtId="14" fontId="51" fillId="11" borderId="34" xfId="0" applyNumberFormat="1" applyFont="1" applyFill="1" applyBorder="1" applyAlignment="1">
      <alignment horizontal="right" vertical="center"/>
    </xf>
    <xf numFmtId="179" fontId="45" fillId="2" borderId="34" xfId="653" applyNumberFormat="1" applyFont="1" applyFill="1" applyBorder="1" applyAlignment="1">
      <alignment horizontal="center" vertical="center" wrapText="1"/>
    </xf>
    <xf numFmtId="14" fontId="38" fillId="0" borderId="34" xfId="0" applyNumberFormat="1" applyFont="1" applyBorder="1" applyAlignment="1"/>
    <xf numFmtId="3" fontId="16" fillId="2" borderId="34" xfId="0" applyNumberFormat="1" applyFont="1" applyFill="1" applyBorder="1" applyAlignment="1">
      <alignment horizontal="center" vertical="center" wrapText="1"/>
    </xf>
    <xf numFmtId="0" fontId="16" fillId="2" borderId="35" xfId="0" applyFont="1" applyFill="1" applyBorder="1" applyAlignment="1">
      <alignment horizontal="center" vertical="center" wrapText="1"/>
    </xf>
    <xf numFmtId="179" fontId="81" fillId="2" borderId="34" xfId="653" applyNumberFormat="1" applyFont="1" applyFill="1" applyBorder="1" applyAlignment="1">
      <alignment horizontal="center" vertical="center" wrapText="1"/>
    </xf>
    <xf numFmtId="14" fontId="16" fillId="2" borderId="34" xfId="0" applyNumberFormat="1" applyFont="1" applyFill="1" applyBorder="1" applyAlignment="1">
      <alignment horizontal="right" vertical="center"/>
    </xf>
    <xf numFmtId="0" fontId="45" fillId="0" borderId="34" xfId="652" applyFont="1" applyFill="1" applyBorder="1" applyAlignment="1">
      <alignment horizontal="center" vertical="center"/>
    </xf>
    <xf numFmtId="169" fontId="16" fillId="0" borderId="34" xfId="0" applyNumberFormat="1" applyFont="1" applyFill="1" applyBorder="1" applyAlignment="1">
      <alignment horizontal="center" vertical="center" wrapText="1"/>
    </xf>
    <xf numFmtId="3" fontId="16" fillId="0" borderId="34" xfId="0" applyNumberFormat="1" applyFont="1" applyFill="1" applyBorder="1" applyAlignment="1">
      <alignment horizontal="center" vertical="center" wrapText="1"/>
    </xf>
    <xf numFmtId="14" fontId="38" fillId="0" borderId="34" xfId="0" applyNumberFormat="1" applyFont="1" applyFill="1" applyBorder="1" applyAlignment="1">
      <alignment vertical="center"/>
    </xf>
    <xf numFmtId="0" fontId="38" fillId="0" borderId="34" xfId="0" applyFont="1" applyFill="1" applyBorder="1" applyAlignment="1">
      <alignment horizontal="center" vertical="center"/>
    </xf>
    <xf numFmtId="0" fontId="38" fillId="0" borderId="34" xfId="0" applyFont="1" applyFill="1" applyBorder="1" applyAlignment="1">
      <alignment vertical="center" wrapText="1"/>
    </xf>
    <xf numFmtId="170" fontId="42" fillId="10" borderId="34" xfId="1" applyFont="1" applyFill="1" applyBorder="1"/>
    <xf numFmtId="0" fontId="16" fillId="2" borderId="36" xfId="0" applyFont="1" applyFill="1" applyBorder="1" applyAlignment="1">
      <alignment horizontal="center" vertical="center" wrapText="1"/>
    </xf>
    <xf numFmtId="3" fontId="51" fillId="13" borderId="34" xfId="0" applyNumberFormat="1" applyFont="1" applyFill="1" applyBorder="1" applyAlignment="1">
      <alignment horizontal="center" vertical="center" wrapText="1"/>
    </xf>
    <xf numFmtId="14" fontId="51" fillId="13" borderId="34" xfId="0" applyNumberFormat="1" applyFont="1" applyFill="1" applyBorder="1" applyAlignment="1">
      <alignment horizontal="right" vertical="center" wrapText="1"/>
    </xf>
    <xf numFmtId="170" fontId="42" fillId="12" borderId="37" xfId="1" applyFont="1" applyFill="1" applyBorder="1"/>
    <xf numFmtId="170" fontId="42" fillId="12" borderId="0" xfId="1" applyFont="1" applyFill="1"/>
    <xf numFmtId="170" fontId="42" fillId="4" borderId="34" xfId="1" applyFont="1" applyFill="1" applyBorder="1"/>
    <xf numFmtId="0" fontId="45" fillId="2" borderId="34" xfId="652" applyFont="1" applyFill="1" applyBorder="1" applyAlignment="1">
      <alignment horizontal="center" vertical="center" wrapText="1"/>
    </xf>
    <xf numFmtId="14" fontId="45" fillId="2" borderId="34" xfId="2" applyNumberFormat="1" applyFont="1" applyFill="1" applyBorder="1" applyAlignment="1">
      <alignment horizontal="right" vertical="center"/>
    </xf>
    <xf numFmtId="3" fontId="16" fillId="0" borderId="34" xfId="0" applyNumberFormat="1" applyFont="1" applyFill="1" applyBorder="1" applyAlignment="1">
      <alignment horizontal="center" vertical="center"/>
    </xf>
    <xf numFmtId="43" fontId="38" fillId="0" borderId="0" xfId="0" applyNumberFormat="1" applyFont="1" applyAlignment="1"/>
    <xf numFmtId="3" fontId="51" fillId="8" borderId="34" xfId="0" applyNumberFormat="1" applyFont="1" applyFill="1" applyBorder="1" applyAlignment="1">
      <alignment horizontal="center" vertical="center" wrapText="1"/>
    </xf>
    <xf numFmtId="14" fontId="51" fillId="8" borderId="34" xfId="0" applyNumberFormat="1" applyFont="1" applyFill="1" applyBorder="1" applyAlignment="1">
      <alignment horizontal="right" vertical="center" wrapText="1"/>
    </xf>
    <xf numFmtId="3" fontId="16" fillId="6" borderId="35" xfId="0" applyNumberFormat="1" applyFont="1" applyFill="1" applyBorder="1" applyAlignment="1">
      <alignment vertical="center" wrapText="1"/>
    </xf>
    <xf numFmtId="0" fontId="63" fillId="2" borderId="37" xfId="2566" applyFont="1" applyFill="1" applyBorder="1" applyAlignment="1">
      <alignment horizontal="center" vertical="center" wrapText="1"/>
    </xf>
    <xf numFmtId="0" fontId="45" fillId="2" borderId="37" xfId="652" applyFont="1" applyFill="1" applyBorder="1" applyAlignment="1">
      <alignment horizontal="center" vertical="center"/>
    </xf>
    <xf numFmtId="3" fontId="45" fillId="20" borderId="34" xfId="0" applyNumberFormat="1" applyFont="1" applyFill="1" applyBorder="1" applyAlignment="1">
      <alignment horizontal="right" vertical="center" wrapText="1"/>
    </xf>
    <xf numFmtId="0" fontId="44" fillId="6" borderId="34" xfId="0" applyFont="1" applyFill="1" applyBorder="1" applyAlignment="1">
      <alignment horizontal="center" vertical="center" wrapText="1"/>
    </xf>
    <xf numFmtId="0" fontId="38" fillId="0" borderId="38" xfId="0" applyFont="1" applyBorder="1" applyAlignment="1"/>
    <xf numFmtId="171" fontId="38" fillId="0" borderId="34" xfId="0" applyNumberFormat="1" applyFont="1" applyBorder="1" applyAlignment="1"/>
    <xf numFmtId="3" fontId="16" fillId="21" borderId="34" xfId="0" applyNumberFormat="1" applyFont="1" applyFill="1" applyBorder="1" applyAlignment="1">
      <alignment horizontal="center" vertical="center" wrapText="1"/>
    </xf>
    <xf numFmtId="14" fontId="45" fillId="20" borderId="34" xfId="0" applyNumberFormat="1" applyFont="1" applyFill="1" applyBorder="1" applyAlignment="1">
      <alignment horizontal="right" vertical="center" wrapText="1"/>
    </xf>
    <xf numFmtId="171" fontId="0" fillId="2" borderId="34" xfId="1" applyNumberFormat="1" applyFont="1" applyFill="1" applyBorder="1"/>
    <xf numFmtId="0" fontId="44" fillId="0" borderId="34" xfId="0" applyFont="1" applyFill="1" applyBorder="1" applyAlignment="1">
      <alignment horizontal="center" vertical="center" wrapText="1"/>
    </xf>
    <xf numFmtId="3" fontId="51" fillId="8" borderId="35" xfId="0" applyNumberFormat="1" applyFont="1" applyFill="1" applyBorder="1" applyAlignment="1">
      <alignment horizontal="right" vertical="center" wrapText="1"/>
    </xf>
    <xf numFmtId="3" fontId="51" fillId="13" borderId="35" xfId="0" applyNumberFormat="1" applyFont="1" applyFill="1" applyBorder="1" applyAlignment="1">
      <alignment horizontal="right" vertical="center" wrapText="1"/>
    </xf>
    <xf numFmtId="171" fontId="42" fillId="12" borderId="34" xfId="1" applyNumberFormat="1" applyFont="1" applyFill="1" applyBorder="1"/>
    <xf numFmtId="0" fontId="45" fillId="20" borderId="34" xfId="0" applyFont="1" applyFill="1" applyBorder="1" applyAlignment="1">
      <alignment horizontal="center" vertical="center" wrapText="1"/>
    </xf>
    <xf numFmtId="3" fontId="16" fillId="20" borderId="34" xfId="0" applyNumberFormat="1" applyFont="1" applyFill="1" applyBorder="1" applyAlignment="1">
      <alignment horizontal="center" vertical="center" wrapText="1"/>
    </xf>
    <xf numFmtId="3" fontId="16" fillId="0" borderId="34" xfId="0" applyNumberFormat="1" applyFont="1" applyBorder="1" applyAlignment="1">
      <alignment vertical="center" wrapText="1"/>
    </xf>
    <xf numFmtId="14" fontId="16" fillId="0" borderId="34" xfId="0" applyNumberFormat="1" applyFont="1" applyBorder="1" applyAlignment="1">
      <alignment vertical="center" wrapText="1"/>
    </xf>
    <xf numFmtId="171" fontId="0" fillId="28" borderId="34" xfId="1" applyNumberFormat="1" applyFont="1" applyFill="1" applyBorder="1"/>
    <xf numFmtId="0" fontId="45" fillId="20" borderId="37" xfId="0" applyFont="1" applyFill="1" applyBorder="1" applyAlignment="1">
      <alignment horizontal="center" vertical="center" wrapText="1"/>
    </xf>
    <xf numFmtId="0" fontId="45" fillId="2" borderId="37" xfId="0" applyFont="1" applyFill="1" applyBorder="1" applyAlignment="1">
      <alignment horizontal="left" vertical="center" wrapText="1"/>
    </xf>
    <xf numFmtId="0" fontId="45" fillId="2" borderId="37" xfId="652" applyFont="1" applyFill="1" applyBorder="1" applyAlignment="1">
      <alignment horizontal="center" vertical="center" wrapText="1"/>
    </xf>
    <xf numFmtId="171" fontId="80" fillId="10" borderId="37" xfId="0" applyNumberFormat="1" applyFont="1" applyFill="1" applyBorder="1" applyAlignment="1"/>
    <xf numFmtId="171" fontId="79" fillId="10" borderId="37" xfId="1" applyNumberFormat="1" applyFont="1" applyFill="1" applyBorder="1"/>
    <xf numFmtId="171" fontId="79" fillId="10" borderId="0" xfId="1" applyNumberFormat="1" applyFont="1" applyFill="1"/>
    <xf numFmtId="0" fontId="45" fillId="0" borderId="37" xfId="652" applyFont="1" applyFill="1" applyBorder="1" applyAlignment="1">
      <alignment horizontal="center" vertical="center" wrapText="1"/>
    </xf>
    <xf numFmtId="0" fontId="80" fillId="10" borderId="34" xfId="0" applyFont="1" applyFill="1" applyBorder="1" applyAlignment="1"/>
    <xf numFmtId="14" fontId="16" fillId="20" borderId="34" xfId="0" applyNumberFormat="1" applyFont="1" applyFill="1" applyBorder="1" applyAlignment="1">
      <alignment horizontal="right" vertical="center" wrapText="1"/>
    </xf>
    <xf numFmtId="43" fontId="80" fillId="12" borderId="34" xfId="0" applyNumberFormat="1" applyFont="1" applyFill="1" applyBorder="1" applyAlignment="1"/>
    <xf numFmtId="179" fontId="54" fillId="0" borderId="34" xfId="653" applyNumberFormat="1" applyFont="1" applyFill="1" applyBorder="1" applyAlignment="1">
      <alignment horizontal="center" vertical="center" wrapText="1"/>
    </xf>
    <xf numFmtId="169" fontId="45" fillId="0" borderId="34" xfId="0" applyNumberFormat="1" applyFont="1" applyFill="1" applyBorder="1" applyAlignment="1">
      <alignment horizontal="center" vertical="center" wrapText="1"/>
    </xf>
    <xf numFmtId="3" fontId="51" fillId="2" borderId="34" xfId="0" applyNumberFormat="1" applyFont="1" applyFill="1" applyBorder="1" applyAlignment="1">
      <alignment horizontal="center" vertical="center" wrapText="1"/>
    </xf>
    <xf numFmtId="179" fontId="45" fillId="0" borderId="34" xfId="653" applyNumberFormat="1" applyFont="1" applyFill="1" applyBorder="1" applyAlignment="1">
      <alignment horizontal="center" vertical="center" wrapText="1"/>
    </xf>
    <xf numFmtId="179" fontId="54" fillId="2" borderId="34" xfId="653" applyNumberFormat="1" applyFont="1" applyFill="1" applyBorder="1" applyAlignment="1">
      <alignment horizontal="center" vertical="center" wrapText="1"/>
    </xf>
    <xf numFmtId="0" fontId="45" fillId="0" borderId="34" xfId="1" applyNumberFormat="1" applyFont="1" applyFill="1" applyBorder="1" applyAlignment="1" applyProtection="1">
      <alignment horizontal="justify" vertical="justify" wrapText="1"/>
    </xf>
    <xf numFmtId="170" fontId="42" fillId="10" borderId="0" xfId="1" applyFont="1" applyFill="1"/>
    <xf numFmtId="0" fontId="51" fillId="6" borderId="34" xfId="0" applyFont="1" applyFill="1" applyBorder="1" applyAlignment="1">
      <alignment horizontal="center" vertical="center" wrapText="1"/>
    </xf>
    <xf numFmtId="3" fontId="51" fillId="20" borderId="34" xfId="0" applyNumberFormat="1" applyFont="1" applyFill="1" applyBorder="1" applyAlignment="1">
      <alignment horizontal="center" vertical="center" wrapText="1"/>
    </xf>
    <xf numFmtId="14" fontId="51" fillId="20" borderId="34" xfId="0" applyNumberFormat="1" applyFont="1" applyFill="1" applyBorder="1" applyAlignment="1">
      <alignment horizontal="right" vertical="center" wrapText="1"/>
    </xf>
    <xf numFmtId="14" fontId="38" fillId="2" borderId="34" xfId="0" applyNumberFormat="1" applyFont="1" applyFill="1" applyBorder="1" applyAlignment="1">
      <alignment vertical="center"/>
    </xf>
    <xf numFmtId="171" fontId="42" fillId="12" borderId="37" xfId="1" applyNumberFormat="1" applyFont="1" applyFill="1" applyBorder="1"/>
    <xf numFmtId="3" fontId="44" fillId="25" borderId="34" xfId="0" applyNumberFormat="1" applyFont="1" applyFill="1" applyBorder="1" applyAlignment="1">
      <alignment horizontal="right" vertical="center" wrapText="1"/>
    </xf>
    <xf numFmtId="14" fontId="51" fillId="25" borderId="34" xfId="0" applyNumberFormat="1" applyFont="1" applyFill="1" applyBorder="1" applyAlignment="1">
      <alignment horizontal="right" vertical="center" wrapText="1"/>
    </xf>
    <xf numFmtId="170" fontId="0" fillId="0" borderId="0" xfId="1" applyFont="1"/>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36" xfId="0" applyFont="1" applyFill="1" applyBorder="1" applyAlignment="1">
      <alignment horizontal="center" vertical="center"/>
    </xf>
    <xf numFmtId="172" fontId="45" fillId="2" borderId="37" xfId="0" applyNumberFormat="1" applyFont="1" applyFill="1" applyBorder="1" applyAlignment="1">
      <alignment vertical="center" wrapText="1"/>
    </xf>
    <xf numFmtId="14" fontId="45" fillId="2" borderId="37" xfId="0" applyNumberFormat="1" applyFont="1" applyFill="1" applyBorder="1" applyAlignment="1">
      <alignment vertical="center" wrapText="1"/>
    </xf>
    <xf numFmtId="0" fontId="45" fillId="2" borderId="37" xfId="0" applyFont="1" applyFill="1" applyBorder="1" applyAlignment="1">
      <alignment vertical="center" wrapText="1"/>
    </xf>
    <xf numFmtId="174" fontId="44" fillId="10" borderId="31" xfId="1" applyNumberFormat="1" applyFont="1" applyFill="1" applyBorder="1" applyAlignment="1">
      <alignment horizontal="center" vertical="center" wrapText="1"/>
    </xf>
    <xf numFmtId="174" fontId="77" fillId="10" borderId="33" xfId="1" applyNumberFormat="1" applyFont="1" applyFill="1" applyBorder="1" applyAlignment="1">
      <alignment horizontal="center" vertical="center" wrapText="1"/>
    </xf>
    <xf numFmtId="0" fontId="45" fillId="4" borderId="37" xfId="0" applyFont="1" applyFill="1" applyBorder="1" applyAlignment="1">
      <alignment vertical="center" wrapText="1"/>
    </xf>
    <xf numFmtId="174" fontId="44" fillId="10" borderId="2" xfId="1" applyNumberFormat="1" applyFont="1" applyFill="1" applyBorder="1" applyAlignment="1">
      <alignment horizontal="center" vertical="center" wrapText="1"/>
    </xf>
    <xf numFmtId="174" fontId="44" fillId="10" borderId="2" xfId="1" applyNumberFormat="1" applyFont="1" applyFill="1" applyBorder="1" applyAlignment="1">
      <alignment horizontal="center" vertical="center" wrapText="1" readingOrder="1"/>
    </xf>
    <xf numFmtId="172" fontId="45" fillId="4" borderId="33" xfId="0" applyNumberFormat="1" applyFont="1" applyFill="1" applyBorder="1" applyAlignment="1">
      <alignment horizontal="center" vertical="center" wrapText="1"/>
    </xf>
    <xf numFmtId="0" fontId="45" fillId="4" borderId="1" xfId="0" applyFont="1" applyFill="1" applyBorder="1" applyAlignment="1">
      <alignment vertical="center" wrapText="1"/>
    </xf>
    <xf numFmtId="0" fontId="54" fillId="3" borderId="34" xfId="0" applyFont="1" applyFill="1" applyBorder="1" applyAlignment="1">
      <alignment horizontal="center" vertical="center" wrapText="1"/>
    </xf>
    <xf numFmtId="0" fontId="54" fillId="2" borderId="34" xfId="0" applyFont="1" applyFill="1" applyBorder="1" applyAlignment="1">
      <alignment horizontal="left" vertical="center" wrapText="1"/>
    </xf>
    <xf numFmtId="17" fontId="45" fillId="2" borderId="34" xfId="1282" applyNumberFormat="1" applyFont="1" applyFill="1" applyBorder="1" applyAlignment="1">
      <alignment horizontal="center" vertical="center"/>
    </xf>
    <xf numFmtId="0" fontId="45" fillId="2" borderId="34" xfId="1282" applyFont="1" applyFill="1" applyBorder="1" applyAlignment="1">
      <alignment horizontal="center" vertical="center"/>
    </xf>
    <xf numFmtId="0" fontId="45" fillId="2" borderId="34" xfId="1136" applyFont="1" applyFill="1" applyBorder="1" applyAlignment="1">
      <alignment horizontal="center" vertical="center" wrapText="1"/>
    </xf>
    <xf numFmtId="3" fontId="45" fillId="0" borderId="34" xfId="1194" applyNumberFormat="1" applyFont="1" applyFill="1" applyBorder="1" applyAlignment="1">
      <alignment horizontal="right" vertical="center" wrapText="1"/>
    </xf>
    <xf numFmtId="3" fontId="45" fillId="0" borderId="34" xfId="1142" applyNumberFormat="1" applyFont="1" applyFill="1" applyBorder="1" applyAlignment="1">
      <alignment horizontal="right" vertical="center" wrapText="1"/>
    </xf>
    <xf numFmtId="3" fontId="45" fillId="2" borderId="34" xfId="1142" applyNumberFormat="1" applyFont="1" applyFill="1" applyBorder="1" applyAlignment="1">
      <alignment horizontal="center" vertical="center" wrapText="1"/>
    </xf>
    <xf numFmtId="3" fontId="45" fillId="2" borderId="34" xfId="1194" applyNumberFormat="1" applyFont="1" applyFill="1" applyBorder="1" applyAlignment="1">
      <alignment horizontal="right" vertical="center" wrapText="1"/>
    </xf>
    <xf numFmtId="3" fontId="45" fillId="2" borderId="34" xfId="1142" applyNumberFormat="1" applyFont="1" applyFill="1" applyBorder="1" applyAlignment="1">
      <alignment horizontal="right" vertical="center" wrapText="1"/>
    </xf>
    <xf numFmtId="14" fontId="45" fillId="2" borderId="34" xfId="1194" applyNumberFormat="1" applyFont="1" applyFill="1" applyBorder="1" applyAlignment="1">
      <alignment horizontal="right" vertical="center" wrapText="1"/>
    </xf>
    <xf numFmtId="3" fontId="45" fillId="2" borderId="34" xfId="1142" applyNumberFormat="1" applyFont="1" applyFill="1" applyBorder="1" applyAlignment="1">
      <alignment horizontal="left" vertical="center" wrapText="1"/>
    </xf>
    <xf numFmtId="17" fontId="45" fillId="0" borderId="34" xfId="1282" applyNumberFormat="1" applyFont="1" applyFill="1" applyBorder="1" applyAlignment="1">
      <alignment horizontal="center" vertical="center"/>
    </xf>
    <xf numFmtId="0" fontId="45" fillId="0" borderId="34" xfId="1282" applyFont="1" applyFill="1" applyBorder="1" applyAlignment="1">
      <alignment horizontal="center" vertical="center"/>
    </xf>
    <xf numFmtId="0" fontId="54" fillId="5" borderId="34" xfId="0" applyFont="1" applyFill="1" applyBorder="1" applyAlignment="1">
      <alignment horizontal="center" vertical="center" wrapText="1"/>
    </xf>
    <xf numFmtId="0" fontId="38" fillId="0" borderId="34" xfId="0" applyFont="1" applyBorder="1"/>
    <xf numFmtId="14" fontId="45" fillId="2" borderId="34" xfId="1136" applyNumberFormat="1" applyFont="1" applyFill="1" applyBorder="1" applyAlignment="1">
      <alignment horizontal="center" vertical="center" wrapText="1"/>
    </xf>
    <xf numFmtId="3" fontId="45" fillId="0" borderId="34" xfId="1142" applyNumberFormat="1" applyFont="1" applyFill="1" applyBorder="1" applyAlignment="1">
      <alignment horizontal="center" vertical="center" wrapText="1"/>
    </xf>
    <xf numFmtId="3" fontId="45" fillId="0" borderId="34" xfId="1142" applyNumberFormat="1" applyFont="1" applyFill="1" applyBorder="1" applyAlignment="1">
      <alignment horizontal="left" vertical="center" wrapText="1"/>
    </xf>
    <xf numFmtId="3" fontId="45" fillId="0" borderId="34" xfId="1147" applyNumberFormat="1" applyFont="1" applyFill="1" applyBorder="1" applyAlignment="1">
      <alignment horizontal="right" vertical="center" wrapText="1"/>
    </xf>
    <xf numFmtId="3" fontId="45" fillId="2" borderId="34" xfId="1147" applyNumberFormat="1" applyFont="1" applyFill="1" applyBorder="1" applyAlignment="1">
      <alignment horizontal="right" vertical="center" wrapText="1"/>
    </xf>
    <xf numFmtId="3" fontId="45" fillId="2" borderId="34" xfId="1147" applyNumberFormat="1" applyFont="1" applyFill="1" applyBorder="1" applyAlignment="1">
      <alignment horizontal="center" vertical="center" wrapText="1"/>
    </xf>
    <xf numFmtId="3" fontId="38" fillId="0" borderId="34" xfId="1128" applyNumberFormat="1" applyFont="1" applyFill="1" applyBorder="1" applyAlignment="1">
      <alignment horizontal="right" vertical="center"/>
    </xf>
    <xf numFmtId="3" fontId="38" fillId="2" borderId="34" xfId="1128" applyNumberFormat="1" applyFont="1" applyFill="1" applyBorder="1" applyAlignment="1">
      <alignment horizontal="right" vertical="center"/>
    </xf>
    <xf numFmtId="0" fontId="54" fillId="0" borderId="34" xfId="0" applyFont="1" applyFill="1" applyBorder="1" applyAlignment="1">
      <alignment horizontal="left" vertical="center" wrapText="1"/>
    </xf>
    <xf numFmtId="0" fontId="38" fillId="0" borderId="34" xfId="0" applyFont="1" applyBorder="1" applyAlignment="1">
      <alignment horizontal="left" vertical="center"/>
    </xf>
    <xf numFmtId="0" fontId="54" fillId="3" borderId="1" xfId="0" applyFont="1" applyFill="1" applyBorder="1" applyAlignment="1">
      <alignment vertical="center" wrapText="1"/>
    </xf>
    <xf numFmtId="0" fontId="51" fillId="8" borderId="34" xfId="0" applyFont="1" applyFill="1" applyBorder="1" applyAlignment="1">
      <alignment horizontal="center" vertical="justify" wrapText="1"/>
    </xf>
    <xf numFmtId="3" fontId="51" fillId="8" borderId="34" xfId="0" applyNumberFormat="1" applyFont="1" applyFill="1" applyBorder="1" applyAlignment="1">
      <alignment vertical="center" wrapText="1"/>
    </xf>
    <xf numFmtId="14" fontId="51" fillId="8" borderId="34" xfId="0" applyNumberFormat="1" applyFont="1" applyFill="1" applyBorder="1" applyAlignment="1">
      <alignment vertical="center" wrapText="1"/>
    </xf>
    <xf numFmtId="0" fontId="54" fillId="3" borderId="37" xfId="0" applyFont="1" applyFill="1" applyBorder="1" applyAlignment="1">
      <alignment vertical="center" wrapText="1"/>
    </xf>
    <xf numFmtId="0" fontId="54" fillId="2" borderId="34" xfId="0" applyFont="1" applyFill="1" applyBorder="1" applyAlignment="1">
      <alignment vertical="center" wrapText="1"/>
    </xf>
    <xf numFmtId="3" fontId="45" fillId="2" borderId="34" xfId="1147" applyNumberFormat="1" applyFont="1" applyFill="1" applyBorder="1" applyAlignment="1">
      <alignment horizontal="left" vertical="center" wrapText="1"/>
    </xf>
    <xf numFmtId="3" fontId="45" fillId="0" borderId="34" xfId="2" applyNumberFormat="1" applyFont="1" applyFill="1" applyBorder="1" applyAlignment="1">
      <alignment vertical="center"/>
    </xf>
    <xf numFmtId="14" fontId="45" fillId="0" borderId="34" xfId="2" applyNumberFormat="1" applyFont="1" applyFill="1" applyBorder="1" applyAlignment="1">
      <alignment vertical="center"/>
    </xf>
    <xf numFmtId="0" fontId="63" fillId="2" borderId="34" xfId="2566" applyFont="1" applyFill="1" applyBorder="1" applyAlignment="1">
      <alignment vertical="center" wrapText="1"/>
    </xf>
    <xf numFmtId="3" fontId="45" fillId="0" borderId="34" xfId="1147" applyNumberFormat="1" applyFont="1" applyFill="1" applyBorder="1" applyAlignment="1">
      <alignment horizontal="left" vertical="center" wrapText="1"/>
    </xf>
    <xf numFmtId="0" fontId="45" fillId="2" borderId="34" xfId="15" applyFont="1" applyFill="1" applyBorder="1" applyAlignment="1">
      <alignment horizontal="left" vertical="center" wrapText="1"/>
    </xf>
    <xf numFmtId="0" fontId="45" fillId="2" borderId="34" xfId="15" applyFont="1" applyFill="1" applyBorder="1" applyAlignment="1">
      <alignment horizontal="center" vertical="center" wrapText="1"/>
    </xf>
    <xf numFmtId="0" fontId="54" fillId="2" borderId="34" xfId="0" applyFont="1" applyFill="1" applyBorder="1" applyAlignment="1">
      <alignment horizontal="center" vertical="center" wrapText="1"/>
    </xf>
    <xf numFmtId="0" fontId="54" fillId="3" borderId="1" xfId="0" applyFont="1" applyFill="1" applyBorder="1" applyAlignment="1">
      <alignment horizontal="center" vertical="center" wrapText="1"/>
    </xf>
    <xf numFmtId="3" fontId="52" fillId="16" borderId="34" xfId="0" applyNumberFormat="1" applyFont="1" applyFill="1" applyBorder="1" applyAlignment="1">
      <alignment vertical="center"/>
    </xf>
    <xf numFmtId="3" fontId="52" fillId="16" borderId="34" xfId="0" applyNumberFormat="1" applyFont="1" applyFill="1" applyBorder="1" applyAlignment="1">
      <alignment horizontal="center" vertical="center"/>
    </xf>
    <xf numFmtId="14" fontId="52" fillId="16" borderId="34" xfId="0" applyNumberFormat="1" applyFont="1" applyFill="1" applyBorder="1" applyAlignment="1">
      <alignment vertical="center"/>
    </xf>
    <xf numFmtId="0" fontId="80" fillId="12" borderId="0" xfId="0" applyFont="1" applyFill="1" applyAlignment="1"/>
    <xf numFmtId="3" fontId="80" fillId="12" borderId="0" xfId="0" applyNumberFormat="1" applyFont="1" applyFill="1" applyAlignment="1"/>
    <xf numFmtId="169" fontId="52" fillId="3" borderId="0" xfId="0" applyNumberFormat="1" applyFont="1" applyFill="1" applyBorder="1" applyAlignment="1">
      <alignment vertical="center"/>
    </xf>
    <xf numFmtId="169" fontId="45" fillId="5" borderId="0" xfId="0" applyNumberFormat="1" applyFont="1" applyFill="1" applyBorder="1" applyAlignment="1">
      <alignment vertical="center"/>
    </xf>
    <xf numFmtId="4" fontId="84" fillId="2" borderId="0" xfId="0" applyNumberFormat="1" applyFont="1" applyFill="1" applyAlignment="1"/>
    <xf numFmtId="3" fontId="84" fillId="2" borderId="0" xfId="0" applyNumberFormat="1" applyFont="1" applyFill="1" applyAlignment="1"/>
    <xf numFmtId="0" fontId="16" fillId="2" borderId="0" xfId="0" applyFont="1" applyFill="1" applyAlignment="1">
      <alignment vertical="center"/>
    </xf>
    <xf numFmtId="171" fontId="44" fillId="2" borderId="0" xfId="1" applyNumberFormat="1" applyFont="1" applyFill="1" applyBorder="1" applyAlignment="1" applyProtection="1">
      <alignment horizontal="center" vertical="center"/>
    </xf>
    <xf numFmtId="0" fontId="38" fillId="0" borderId="0" xfId="0" applyFont="1" applyAlignment="1">
      <alignment horizontal="justify" vertical="justify"/>
    </xf>
    <xf numFmtId="169" fontId="77" fillId="0" borderId="0" xfId="3" applyNumberFormat="1" applyFont="1" applyBorder="1" applyAlignment="1" applyProtection="1">
      <alignment vertical="center"/>
    </xf>
    <xf numFmtId="171" fontId="51" fillId="2" borderId="0" xfId="1" applyNumberFormat="1" applyFont="1" applyFill="1" applyBorder="1" applyAlignment="1" applyProtection="1">
      <alignment horizontal="center" vertical="center"/>
    </xf>
    <xf numFmtId="0" fontId="44" fillId="2" borderId="0" xfId="0" applyFont="1" applyFill="1" applyBorder="1" applyAlignment="1">
      <alignment horizontal="center" vertical="center"/>
    </xf>
    <xf numFmtId="169" fontId="77" fillId="0" borderId="0" xfId="0" applyNumberFormat="1" applyFont="1" applyAlignment="1"/>
    <xf numFmtId="0" fontId="54" fillId="3" borderId="3" xfId="0" applyFont="1" applyFill="1" applyBorder="1" applyAlignment="1">
      <alignment vertical="center"/>
    </xf>
    <xf numFmtId="0" fontId="54" fillId="3" borderId="3" xfId="0" applyFont="1" applyFill="1" applyBorder="1" applyAlignment="1">
      <alignment horizontal="center" vertical="center"/>
    </xf>
    <xf numFmtId="14" fontId="16" fillId="2" borderId="0" xfId="0" applyNumberFormat="1" applyFont="1" applyFill="1" applyAlignment="1">
      <alignment vertical="center"/>
    </xf>
    <xf numFmtId="0" fontId="38" fillId="0" borderId="0" xfId="0" applyFont="1"/>
    <xf numFmtId="0" fontId="38" fillId="0" borderId="0" xfId="0" applyFont="1" applyAlignment="1">
      <alignment horizontal="center"/>
    </xf>
    <xf numFmtId="171" fontId="38" fillId="2" borderId="34" xfId="1" applyNumberFormat="1" applyFont="1" applyFill="1" applyBorder="1"/>
    <xf numFmtId="180" fontId="0" fillId="2" borderId="34" xfId="1" applyNumberFormat="1" applyFont="1" applyFill="1" applyBorder="1"/>
    <xf numFmtId="3" fontId="51" fillId="25" borderId="34" xfId="0" applyNumberFormat="1" applyFont="1" applyFill="1" applyBorder="1" applyAlignment="1">
      <alignment horizontal="center" vertical="center" wrapText="1"/>
    </xf>
    <xf numFmtId="3" fontId="52" fillId="15" borderId="37" xfId="0" applyNumberFormat="1" applyFont="1" applyFill="1" applyBorder="1" applyAlignment="1">
      <alignment vertical="center"/>
    </xf>
    <xf numFmtId="3" fontId="52" fillId="15" borderId="37" xfId="0" applyNumberFormat="1" applyFont="1" applyFill="1" applyBorder="1" applyAlignment="1">
      <alignment horizontal="center" vertical="center"/>
    </xf>
    <xf numFmtId="3" fontId="52" fillId="24" borderId="1" xfId="0" applyNumberFormat="1" applyFont="1" applyFill="1" applyBorder="1" applyAlignment="1">
      <alignment vertical="center"/>
    </xf>
    <xf numFmtId="14" fontId="52" fillId="24" borderId="1" xfId="0" applyNumberFormat="1" applyFont="1" applyFill="1" applyBorder="1" applyAlignment="1">
      <alignment vertical="center"/>
    </xf>
    <xf numFmtId="43" fontId="80" fillId="2" borderId="34" xfId="0" applyNumberFormat="1" applyFont="1" applyFill="1" applyBorder="1" applyAlignment="1"/>
    <xf numFmtId="0" fontId="80" fillId="4" borderId="34" xfId="0" applyFont="1" applyFill="1" applyBorder="1" applyAlignment="1"/>
    <xf numFmtId="3" fontId="80" fillId="4" borderId="34" xfId="0" applyNumberFormat="1" applyFont="1" applyFill="1" applyBorder="1" applyAlignment="1"/>
    <xf numFmtId="171" fontId="86" fillId="10" borderId="34" xfId="1" applyNumberFormat="1" applyFont="1" applyFill="1" applyBorder="1"/>
    <xf numFmtId="171" fontId="85" fillId="0" borderId="34" xfId="1" applyNumberFormat="1" applyFont="1" applyBorder="1"/>
    <xf numFmtId="0" fontId="55" fillId="0" borderId="34" xfId="0" applyFont="1" applyFill="1" applyBorder="1" applyAlignment="1">
      <alignment horizontal="center" vertical="center" wrapText="1"/>
    </xf>
    <xf numFmtId="0" fontId="38" fillId="2" borderId="34" xfId="0" applyFont="1" applyFill="1" applyBorder="1" applyAlignment="1">
      <alignment horizontal="left" wrapText="1"/>
    </xf>
    <xf numFmtId="0" fontId="55" fillId="12" borderId="34" xfId="0" applyFont="1" applyFill="1" applyBorder="1" applyAlignment="1">
      <alignment horizontal="justify" vertical="top" wrapText="1"/>
    </xf>
    <xf numFmtId="0" fontId="55" fillId="12" borderId="34" xfId="0" applyFont="1" applyFill="1" applyBorder="1" applyAlignment="1">
      <alignment horizontal="center" vertical="center" wrapText="1"/>
    </xf>
    <xf numFmtId="0" fontId="55" fillId="12" borderId="34" xfId="44" applyFont="1" applyFill="1" applyBorder="1" applyAlignment="1">
      <alignment horizontal="center" vertical="center" wrapText="1"/>
    </xf>
    <xf numFmtId="14" fontId="55" fillId="12" borderId="34" xfId="0" applyNumberFormat="1" applyFont="1" applyFill="1" applyBorder="1" applyAlignment="1">
      <alignment horizontal="center" vertical="center" wrapText="1"/>
    </xf>
    <xf numFmtId="173" fontId="55" fillId="12" borderId="34" xfId="0" applyNumberFormat="1" applyFont="1" applyFill="1" applyBorder="1" applyAlignment="1">
      <alignment horizontal="center" vertical="center" wrapText="1"/>
    </xf>
    <xf numFmtId="0" fontId="55" fillId="12" borderId="34" xfId="46" applyFont="1" applyFill="1" applyBorder="1" applyAlignment="1">
      <alignment horizontal="left" vertical="top" wrapText="1"/>
    </xf>
    <xf numFmtId="0" fontId="55" fillId="12" borderId="37" xfId="0" applyFont="1" applyFill="1" applyBorder="1" applyAlignment="1">
      <alignment vertical="center" wrapText="1"/>
    </xf>
    <xf numFmtId="17" fontId="55" fillId="12" borderId="34" xfId="0" applyNumberFormat="1" applyFont="1" applyFill="1" applyBorder="1" applyAlignment="1">
      <alignment horizontal="center" vertical="center" wrapText="1"/>
    </xf>
    <xf numFmtId="175" fontId="55" fillId="12" borderId="34" xfId="0" applyNumberFormat="1" applyFont="1" applyFill="1" applyBorder="1" applyAlignment="1">
      <alignment horizontal="center" vertical="center" wrapText="1"/>
    </xf>
    <xf numFmtId="3" fontId="55" fillId="12" borderId="34" xfId="0" applyNumberFormat="1" applyFont="1" applyFill="1" applyBorder="1" applyAlignment="1">
      <alignment horizontal="right" vertical="center" wrapText="1"/>
    </xf>
    <xf numFmtId="17" fontId="55" fillId="12" borderId="34" xfId="37" applyNumberFormat="1" applyFont="1" applyFill="1" applyBorder="1" applyAlignment="1">
      <alignment horizontal="center" vertical="center" wrapText="1"/>
    </xf>
    <xf numFmtId="175" fontId="55" fillId="12" borderId="34" xfId="31" applyNumberFormat="1" applyFont="1" applyFill="1" applyBorder="1" applyAlignment="1">
      <alignment horizontal="center" vertical="center" wrapText="1"/>
    </xf>
    <xf numFmtId="0" fontId="55" fillId="2" borderId="34" xfId="0" applyFont="1" applyFill="1" applyBorder="1" applyAlignment="1">
      <alignment horizontal="center" vertical="center" wrapText="1"/>
    </xf>
    <xf numFmtId="0" fontId="51" fillId="21" borderId="34" xfId="0" applyFont="1" applyFill="1" applyBorder="1" applyAlignment="1">
      <alignment horizontal="center" vertical="center" wrapText="1"/>
    </xf>
    <xf numFmtId="174" fontId="44" fillId="10" borderId="37" xfId="1" applyNumberFormat="1" applyFont="1" applyFill="1" applyBorder="1" applyAlignment="1">
      <alignment horizontal="center" vertical="center" textRotation="90" wrapText="1" readingOrder="1"/>
    </xf>
    <xf numFmtId="174" fontId="44" fillId="10" borderId="1" xfId="1" applyNumberFormat="1" applyFont="1" applyFill="1" applyBorder="1" applyAlignment="1">
      <alignment horizontal="center" vertical="center" textRotation="90" wrapText="1" readingOrder="1"/>
    </xf>
    <xf numFmtId="0" fontId="51" fillId="4" borderId="34" xfId="0" applyFont="1" applyFill="1" applyBorder="1" applyAlignment="1">
      <alignment horizontal="center" vertical="center" wrapText="1"/>
    </xf>
    <xf numFmtId="0" fontId="51" fillId="13" borderId="34" xfId="0" applyFont="1" applyFill="1" applyBorder="1" applyAlignment="1">
      <alignment horizontal="center" vertical="center" wrapText="1"/>
    </xf>
    <xf numFmtId="0" fontId="52" fillId="14" borderId="34" xfId="0" applyFont="1" applyFill="1" applyBorder="1" applyAlignment="1">
      <alignment horizontal="center" vertical="center"/>
    </xf>
    <xf numFmtId="0" fontId="51" fillId="12" borderId="34" xfId="0" applyFont="1" applyFill="1" applyBorder="1" applyAlignment="1">
      <alignment horizontal="center" vertical="center" wrapText="1"/>
    </xf>
    <xf numFmtId="0" fontId="51" fillId="9" borderId="34" xfId="0" applyFont="1" applyFill="1" applyBorder="1" applyAlignment="1">
      <alignment horizontal="center" vertical="center" wrapText="1"/>
    </xf>
    <xf numFmtId="0" fontId="16" fillId="9" borderId="34" xfId="0" applyFont="1" applyFill="1" applyBorder="1" applyAlignment="1">
      <alignment horizontal="center" vertical="center" wrapText="1"/>
    </xf>
    <xf numFmtId="172" fontId="45" fillId="4" borderId="34" xfId="0" applyNumberFormat="1" applyFont="1" applyFill="1" applyBorder="1" applyAlignment="1">
      <alignment horizontal="center" vertical="center" wrapText="1"/>
    </xf>
    <xf numFmtId="0" fontId="51" fillId="8" borderId="38" xfId="0" applyFont="1" applyFill="1" applyBorder="1" applyAlignment="1">
      <alignment horizontal="center" vertical="center" wrapText="1"/>
    </xf>
    <xf numFmtId="0" fontId="51" fillId="8" borderId="34" xfId="0" applyFont="1" applyFill="1" applyBorder="1" applyAlignment="1">
      <alignment horizontal="center" vertical="center" wrapText="1"/>
    </xf>
    <xf numFmtId="174" fontId="44" fillId="10" borderId="37" xfId="1" applyNumberFormat="1" applyFont="1" applyFill="1" applyBorder="1" applyAlignment="1">
      <alignment horizontal="center" vertical="center" wrapText="1" readingOrder="1"/>
    </xf>
    <xf numFmtId="0" fontId="52" fillId="5" borderId="34" xfId="0" applyFont="1" applyFill="1" applyBorder="1" applyAlignment="1">
      <alignment horizontal="center" vertical="center"/>
    </xf>
    <xf numFmtId="172" fontId="45" fillId="4" borderId="37" xfId="0" applyNumberFormat="1" applyFont="1" applyFill="1" applyBorder="1" applyAlignment="1">
      <alignment horizontal="center" vertical="center" wrapText="1"/>
    </xf>
    <xf numFmtId="0" fontId="45" fillId="2" borderId="1" xfId="0" applyFont="1" applyFill="1" applyBorder="1"/>
    <xf numFmtId="0" fontId="44" fillId="17" borderId="37" xfId="0" applyFont="1" applyFill="1" applyBorder="1" applyAlignment="1">
      <alignment horizontal="center" vertical="center" wrapText="1"/>
    </xf>
    <xf numFmtId="172" fontId="55" fillId="4" borderId="37" xfId="0" applyNumberFormat="1" applyFont="1" applyFill="1" applyBorder="1" applyAlignment="1">
      <alignment horizontal="center" vertical="center" wrapText="1"/>
    </xf>
    <xf numFmtId="172" fontId="55" fillId="4" borderId="1"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20" borderId="34" xfId="0" applyFont="1" applyFill="1" applyBorder="1" applyAlignment="1">
      <alignment horizontal="center" vertical="center" wrapText="1"/>
    </xf>
    <xf numFmtId="0" fontId="38" fillId="10" borderId="0" xfId="0" applyFont="1" applyFill="1" applyAlignment="1"/>
    <xf numFmtId="170" fontId="42" fillId="12" borderId="34" xfId="1" applyFont="1" applyFill="1" applyBorder="1"/>
    <xf numFmtId="180" fontId="0" fillId="10" borderId="34" xfId="1" applyNumberFormat="1" applyFont="1" applyFill="1" applyBorder="1"/>
    <xf numFmtId="171" fontId="0" fillId="10" borderId="0" xfId="1" applyNumberFormat="1" applyFont="1" applyFill="1"/>
    <xf numFmtId="170" fontId="13" fillId="10" borderId="0" xfId="1" applyFill="1"/>
    <xf numFmtId="0" fontId="45" fillId="4" borderId="34" xfId="0" applyFont="1" applyFill="1" applyBorder="1" applyAlignment="1">
      <alignment horizontal="center" vertical="center" wrapText="1"/>
    </xf>
    <xf numFmtId="172" fontId="44" fillId="2" borderId="41" xfId="0" applyNumberFormat="1" applyFont="1" applyFill="1" applyBorder="1" applyAlignment="1">
      <alignment horizontal="center" vertical="center" wrapText="1"/>
    </xf>
    <xf numFmtId="172" fontId="44" fillId="2" borderId="38" xfId="0" applyNumberFormat="1" applyFont="1" applyFill="1" applyBorder="1" applyAlignment="1">
      <alignment horizontal="center" vertical="center" wrapText="1"/>
    </xf>
    <xf numFmtId="172" fontId="44" fillId="4" borderId="41" xfId="0" applyNumberFormat="1" applyFont="1" applyFill="1" applyBorder="1" applyAlignment="1">
      <alignment horizontal="center" vertical="center" wrapText="1"/>
    </xf>
    <xf numFmtId="172" fontId="44" fillId="4" borderId="38" xfId="0" applyNumberFormat="1" applyFont="1" applyFill="1" applyBorder="1" applyAlignment="1">
      <alignment horizontal="center" vertical="center" wrapText="1"/>
    </xf>
    <xf numFmtId="0" fontId="51" fillId="21" borderId="34" xfId="0" applyFont="1" applyFill="1" applyBorder="1" applyAlignment="1">
      <alignment horizontal="center" vertical="center" wrapText="1"/>
    </xf>
    <xf numFmtId="0" fontId="77" fillId="10" borderId="31" xfId="0" applyFont="1" applyFill="1" applyBorder="1" applyAlignment="1">
      <alignment horizontal="center" vertical="center"/>
    </xf>
    <xf numFmtId="0" fontId="77" fillId="10" borderId="8" xfId="0" applyFont="1" applyFill="1" applyBorder="1" applyAlignment="1">
      <alignment horizontal="center" vertical="center"/>
    </xf>
    <xf numFmtId="0" fontId="78" fillId="10" borderId="37" xfId="0" applyFont="1" applyFill="1" applyBorder="1" applyAlignment="1">
      <alignment horizontal="center" vertical="center"/>
    </xf>
    <xf numFmtId="0" fontId="78" fillId="10" borderId="1" xfId="0" applyFont="1" applyFill="1" applyBorder="1" applyAlignment="1">
      <alignment horizontal="center" vertical="center"/>
    </xf>
    <xf numFmtId="174" fontId="44" fillId="10" borderId="37" xfId="1" applyNumberFormat="1" applyFont="1" applyFill="1" applyBorder="1" applyAlignment="1">
      <alignment horizontal="center" vertical="center" textRotation="90" wrapText="1" readingOrder="1"/>
    </xf>
    <xf numFmtId="174" fontId="44" fillId="10" borderId="1" xfId="1" applyNumberFormat="1" applyFont="1" applyFill="1" applyBorder="1" applyAlignment="1">
      <alignment horizontal="center" vertical="center" textRotation="90" wrapText="1" readingOrder="1"/>
    </xf>
    <xf numFmtId="0" fontId="45" fillId="0" borderId="34" xfId="0" applyFont="1" applyFill="1" applyBorder="1" applyAlignment="1">
      <alignment horizontal="left" vertical="center"/>
    </xf>
    <xf numFmtId="0" fontId="51" fillId="4" borderId="34" xfId="0" applyFont="1" applyFill="1" applyBorder="1" applyAlignment="1">
      <alignment horizontal="center" vertical="center" wrapText="1"/>
    </xf>
    <xf numFmtId="0" fontId="51" fillId="13" borderId="34" xfId="0" applyFont="1" applyFill="1" applyBorder="1" applyAlignment="1">
      <alignment horizontal="center" vertical="center" wrapText="1"/>
    </xf>
    <xf numFmtId="0" fontId="52" fillId="14" borderId="34" xfId="0" applyFont="1" applyFill="1" applyBorder="1" applyAlignment="1">
      <alignment horizontal="center" vertical="center"/>
    </xf>
    <xf numFmtId="0" fontId="51" fillId="12" borderId="34" xfId="0" applyFont="1" applyFill="1" applyBorder="1" applyAlignment="1">
      <alignment horizontal="center" vertical="center" wrapText="1"/>
    </xf>
    <xf numFmtId="0" fontId="51" fillId="9" borderId="34" xfId="0" applyFont="1" applyFill="1" applyBorder="1" applyAlignment="1">
      <alignment horizontal="center" vertical="center" wrapText="1"/>
    </xf>
    <xf numFmtId="0" fontId="16" fillId="9" borderId="34" xfId="0" applyFont="1" applyFill="1" applyBorder="1" applyAlignment="1">
      <alignment horizontal="center" vertical="center" wrapText="1"/>
    </xf>
    <xf numFmtId="0" fontId="16" fillId="6" borderId="34" xfId="0" applyFont="1" applyFill="1" applyBorder="1" applyAlignment="1">
      <alignment horizontal="center" vertical="center" textRotation="90" wrapText="1"/>
    </xf>
    <xf numFmtId="0" fontId="16" fillId="29" borderId="34" xfId="0" applyFont="1" applyFill="1" applyBorder="1" applyAlignment="1">
      <alignment horizontal="center" vertical="center" textRotation="90" wrapText="1"/>
    </xf>
    <xf numFmtId="0" fontId="16" fillId="6" borderId="37" xfId="0" applyFont="1" applyFill="1" applyBorder="1" applyAlignment="1">
      <alignment horizontal="center" vertical="center" textRotation="90" wrapText="1"/>
    </xf>
    <xf numFmtId="0" fontId="16" fillId="6" borderId="2" xfId="0" applyFont="1" applyFill="1" applyBorder="1" applyAlignment="1">
      <alignment horizontal="center" vertical="center" textRotation="90" wrapText="1"/>
    </xf>
    <xf numFmtId="0" fontId="16" fillId="6" borderId="1" xfId="0" applyFont="1" applyFill="1" applyBorder="1" applyAlignment="1">
      <alignment horizontal="center" vertical="center" textRotation="90" wrapText="1"/>
    </xf>
    <xf numFmtId="0" fontId="16" fillId="20" borderId="34" xfId="0" applyFont="1" applyFill="1" applyBorder="1" applyAlignment="1">
      <alignment horizontal="center" vertical="center" textRotation="90" wrapText="1"/>
    </xf>
    <xf numFmtId="14" fontId="45" fillId="4" borderId="37" xfId="0" applyNumberFormat="1" applyFont="1" applyFill="1" applyBorder="1" applyAlignment="1">
      <alignment horizontal="center" vertical="center" wrapText="1"/>
    </xf>
    <xf numFmtId="14" fontId="45" fillId="4" borderId="2" xfId="0" applyNumberFormat="1" applyFont="1" applyFill="1" applyBorder="1" applyAlignment="1">
      <alignment horizontal="center" vertical="center" wrapText="1"/>
    </xf>
    <xf numFmtId="172" fontId="44" fillId="4" borderId="35" xfId="0" applyNumberFormat="1" applyFont="1" applyFill="1" applyBorder="1" applyAlignment="1">
      <alignment horizontal="center" vertical="center" wrapText="1"/>
    </xf>
    <xf numFmtId="172" fontId="45" fillId="4" borderId="34" xfId="0" applyNumberFormat="1" applyFont="1" applyFill="1" applyBorder="1" applyAlignment="1">
      <alignment horizontal="center" vertical="center" wrapText="1"/>
    </xf>
    <xf numFmtId="0" fontId="51" fillId="8" borderId="35" xfId="0" applyFont="1" applyFill="1" applyBorder="1" applyAlignment="1">
      <alignment horizontal="center" vertical="center" wrapText="1"/>
    </xf>
    <xf numFmtId="0" fontId="51" fillId="8" borderId="36" xfId="0" applyFont="1" applyFill="1" applyBorder="1" applyAlignment="1">
      <alignment horizontal="center" vertical="center" wrapText="1"/>
    </xf>
    <xf numFmtId="0" fontId="51" fillId="8" borderId="38" xfId="0" applyFont="1" applyFill="1" applyBorder="1" applyAlignment="1">
      <alignment horizontal="center" vertical="center" wrapText="1"/>
    </xf>
    <xf numFmtId="0" fontId="51" fillId="8" borderId="8" xfId="0" applyFont="1" applyFill="1" applyBorder="1" applyAlignment="1">
      <alignment horizontal="center" vertical="center" wrapText="1"/>
    </xf>
    <xf numFmtId="0" fontId="51" fillId="8" borderId="3" xfId="0" applyFont="1" applyFill="1" applyBorder="1" applyAlignment="1">
      <alignment horizontal="center" vertical="center" wrapText="1"/>
    </xf>
    <xf numFmtId="0" fontId="16" fillId="2" borderId="37"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6" borderId="37"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45" fillId="4" borderId="37" xfId="0" applyFont="1" applyFill="1" applyBorder="1" applyAlignment="1">
      <alignment horizontal="center" vertical="center" wrapText="1"/>
    </xf>
    <xf numFmtId="0" fontId="45" fillId="4" borderId="2" xfId="0" applyFont="1" applyFill="1" applyBorder="1" applyAlignment="1">
      <alignment horizontal="center" vertical="center" wrapText="1"/>
    </xf>
    <xf numFmtId="174" fontId="44" fillId="10" borderId="34" xfId="1" applyNumberFormat="1" applyFont="1" applyFill="1" applyBorder="1" applyAlignment="1">
      <alignment horizontal="center" vertical="center" textRotation="90" wrapText="1" readingOrder="1"/>
    </xf>
    <xf numFmtId="0" fontId="79" fillId="0" borderId="1" xfId="0" applyFont="1" applyBorder="1" applyAlignment="1">
      <alignment horizontal="center" vertical="center"/>
    </xf>
    <xf numFmtId="0" fontId="45" fillId="6" borderId="37" xfId="0" applyFont="1" applyFill="1" applyBorder="1" applyAlignment="1">
      <alignment horizontal="left" vertical="center" wrapText="1"/>
    </xf>
    <xf numFmtId="0" fontId="45" fillId="6" borderId="2" xfId="0" applyFont="1" applyFill="1" applyBorder="1" applyAlignment="1">
      <alignment horizontal="left" vertical="center" wrapText="1"/>
    </xf>
    <xf numFmtId="0" fontId="45" fillId="6" borderId="1" xfId="0" applyFont="1" applyFill="1" applyBorder="1" applyAlignment="1">
      <alignment horizontal="left" vertical="center" wrapText="1"/>
    </xf>
    <xf numFmtId="0" fontId="51" fillId="8" borderId="34"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6" fillId="6" borderId="37"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44" fillId="0" borderId="0" xfId="0" applyFont="1" applyBorder="1" applyAlignment="1">
      <alignment horizontal="center" vertical="center"/>
    </xf>
    <xf numFmtId="0" fontId="54" fillId="3" borderId="28" xfId="0" applyFont="1" applyFill="1" applyBorder="1" applyAlignment="1">
      <alignment horizontal="left" vertical="center"/>
    </xf>
    <xf numFmtId="0" fontId="54" fillId="3" borderId="29" xfId="0" applyFont="1" applyFill="1" applyBorder="1" applyAlignment="1">
      <alignment horizontal="left" vertical="center"/>
    </xf>
    <xf numFmtId="0" fontId="54" fillId="3" borderId="36" xfId="0" applyFont="1" applyFill="1" applyBorder="1" applyAlignment="1">
      <alignment horizontal="left" vertical="center"/>
    </xf>
    <xf numFmtId="0" fontId="54" fillId="3" borderId="30" xfId="0" applyFont="1" applyFill="1" applyBorder="1" applyAlignment="1">
      <alignment horizontal="left" vertical="center"/>
    </xf>
    <xf numFmtId="0" fontId="54" fillId="3" borderId="8" xfId="0" applyFont="1" applyFill="1" applyBorder="1" applyAlignment="1">
      <alignment horizontal="left" vertical="center"/>
    </xf>
    <xf numFmtId="0" fontId="54" fillId="3" borderId="3" xfId="0" applyFont="1" applyFill="1" applyBorder="1" applyAlignment="1">
      <alignment horizontal="left" vertical="center"/>
    </xf>
    <xf numFmtId="0" fontId="54" fillId="3" borderId="4" xfId="0" applyFont="1" applyFill="1" applyBorder="1" applyAlignment="1">
      <alignment horizontal="left" vertical="center"/>
    </xf>
    <xf numFmtId="0" fontId="52" fillId="3" borderId="28" xfId="0" applyFont="1" applyFill="1" applyBorder="1" applyAlignment="1">
      <alignment horizontal="left" vertical="center"/>
    </xf>
    <xf numFmtId="0" fontId="52" fillId="3" borderId="29" xfId="0" applyFont="1" applyFill="1" applyBorder="1" applyAlignment="1">
      <alignment horizontal="left" vertical="center"/>
    </xf>
    <xf numFmtId="0" fontId="52" fillId="3" borderId="36" xfId="0" applyFont="1" applyFill="1" applyBorder="1" applyAlignment="1">
      <alignment horizontal="left" vertical="center"/>
    </xf>
    <xf numFmtId="0" fontId="52" fillId="3" borderId="30" xfId="0" applyFont="1" applyFill="1" applyBorder="1" applyAlignment="1">
      <alignment horizontal="left" vertical="center"/>
    </xf>
    <xf numFmtId="174" fontId="77" fillId="10" borderId="37" xfId="1" applyNumberFormat="1" applyFont="1" applyFill="1" applyBorder="1" applyAlignment="1">
      <alignment horizontal="center" vertical="center" wrapText="1"/>
    </xf>
    <xf numFmtId="174" fontId="77" fillId="10" borderId="1" xfId="1" applyNumberFormat="1" applyFont="1" applyFill="1" applyBorder="1" applyAlignment="1">
      <alignment horizontal="center" vertical="center" wrapText="1"/>
    </xf>
    <xf numFmtId="0" fontId="51" fillId="9" borderId="35" xfId="0" applyFont="1" applyFill="1" applyBorder="1" applyAlignment="1">
      <alignment horizontal="center" vertical="center" wrapText="1"/>
    </xf>
    <xf numFmtId="0" fontId="51" fillId="9" borderId="36" xfId="0" applyFont="1" applyFill="1" applyBorder="1" applyAlignment="1">
      <alignment horizontal="center" vertical="center" wrapText="1"/>
    </xf>
    <xf numFmtId="174" fontId="44" fillId="10" borderId="37" xfId="1" applyNumberFormat="1" applyFont="1" applyFill="1" applyBorder="1" applyAlignment="1">
      <alignment horizontal="center" vertical="center" wrapText="1"/>
    </xf>
    <xf numFmtId="174" fontId="44" fillId="10" borderId="1" xfId="1" applyNumberFormat="1" applyFont="1" applyFill="1" applyBorder="1" applyAlignment="1">
      <alignment horizontal="center" vertical="center" wrapText="1"/>
    </xf>
    <xf numFmtId="0" fontId="54" fillId="3" borderId="27" xfId="0" applyFont="1" applyFill="1" applyBorder="1" applyAlignment="1">
      <alignment horizontal="left" vertical="center"/>
    </xf>
    <xf numFmtId="0" fontId="54" fillId="3" borderId="34" xfId="0" applyFont="1" applyFill="1" applyBorder="1" applyAlignment="1">
      <alignment horizontal="left" vertical="center"/>
    </xf>
    <xf numFmtId="0" fontId="54" fillId="3" borderId="35" xfId="0" applyFont="1" applyFill="1" applyBorder="1" applyAlignment="1">
      <alignment horizontal="left" vertical="center"/>
    </xf>
    <xf numFmtId="172" fontId="44" fillId="10" borderId="37" xfId="0" applyNumberFormat="1" applyFont="1" applyFill="1" applyBorder="1" applyAlignment="1">
      <alignment horizontal="center" vertical="center" wrapText="1"/>
    </xf>
    <xf numFmtId="172" fontId="44" fillId="10" borderId="1" xfId="0" applyNumberFormat="1" applyFont="1" applyFill="1" applyBorder="1" applyAlignment="1">
      <alignment horizontal="center" vertical="center" wrapText="1"/>
    </xf>
    <xf numFmtId="0" fontId="77" fillId="10" borderId="37" xfId="0" applyFont="1" applyFill="1" applyBorder="1" applyAlignment="1">
      <alignment horizontal="center" vertical="center"/>
    </xf>
    <xf numFmtId="0" fontId="77" fillId="10" borderId="1" xfId="0" applyFont="1" applyFill="1" applyBorder="1" applyAlignment="1">
      <alignment horizontal="center" vertical="center"/>
    </xf>
    <xf numFmtId="174" fontId="44" fillId="10" borderId="37" xfId="1" applyNumberFormat="1" applyFont="1" applyFill="1" applyBorder="1" applyAlignment="1">
      <alignment horizontal="center" vertical="center" wrapText="1" readingOrder="1"/>
    </xf>
    <xf numFmtId="174" fontId="44" fillId="10" borderId="1" xfId="1" applyNumberFormat="1" applyFont="1" applyFill="1" applyBorder="1" applyAlignment="1">
      <alignment horizontal="center" vertical="center" wrapText="1" readingOrder="1"/>
    </xf>
    <xf numFmtId="174" fontId="77" fillId="10" borderId="35" xfId="1" applyNumberFormat="1" applyFont="1" applyFill="1" applyBorder="1" applyAlignment="1">
      <alignment horizontal="center" vertical="center" wrapText="1"/>
    </xf>
    <xf numFmtId="174" fontId="77" fillId="10" borderId="36" xfId="1" applyNumberFormat="1" applyFont="1" applyFill="1" applyBorder="1" applyAlignment="1">
      <alignment horizontal="center" vertical="center" wrapText="1"/>
    </xf>
    <xf numFmtId="174" fontId="77" fillId="10" borderId="38" xfId="1" applyNumberFormat="1" applyFont="1" applyFill="1" applyBorder="1" applyAlignment="1">
      <alignment horizontal="center" vertical="center" wrapText="1"/>
    </xf>
    <xf numFmtId="174" fontId="51" fillId="10" borderId="37" xfId="1" applyNumberFormat="1" applyFont="1" applyFill="1" applyBorder="1" applyAlignment="1">
      <alignment horizontal="left" vertical="center" wrapText="1"/>
    </xf>
    <xf numFmtId="174" fontId="51" fillId="10" borderId="1" xfId="1" applyNumberFormat="1" applyFont="1" applyFill="1" applyBorder="1" applyAlignment="1">
      <alignment horizontal="left" vertical="center" wrapText="1"/>
    </xf>
    <xf numFmtId="174" fontId="44" fillId="10" borderId="34" xfId="1" applyNumberFormat="1" applyFont="1" applyFill="1" applyBorder="1" applyAlignment="1">
      <alignment horizontal="center" vertical="center" wrapText="1" readingOrder="1"/>
    </xf>
    <xf numFmtId="0" fontId="52" fillId="5" borderId="34" xfId="0" applyFont="1" applyFill="1" applyBorder="1" applyAlignment="1">
      <alignment horizontal="center" vertical="center"/>
    </xf>
    <xf numFmtId="0" fontId="54" fillId="3" borderId="2" xfId="0" applyFont="1" applyFill="1" applyBorder="1" applyAlignment="1">
      <alignment horizontal="center" vertical="center" textRotation="90"/>
    </xf>
    <xf numFmtId="0" fontId="54" fillId="3" borderId="1" xfId="0" applyFont="1" applyFill="1" applyBorder="1" applyAlignment="1">
      <alignment horizontal="center" vertical="center" textRotation="90"/>
    </xf>
    <xf numFmtId="0" fontId="54" fillId="3" borderId="37" xfId="0" applyFont="1" applyFill="1" applyBorder="1" applyAlignment="1">
      <alignment horizontal="center" vertical="center" textRotation="90" wrapText="1"/>
    </xf>
    <xf numFmtId="0" fontId="54" fillId="3" borderId="2" xfId="0" applyFont="1" applyFill="1" applyBorder="1" applyAlignment="1">
      <alignment horizontal="center" vertical="center" textRotation="90" wrapText="1"/>
    </xf>
    <xf numFmtId="0" fontId="54" fillId="14" borderId="2" xfId="0" applyFont="1" applyFill="1" applyBorder="1" applyAlignment="1">
      <alignment horizontal="center" vertical="center" textRotation="90" wrapText="1"/>
    </xf>
    <xf numFmtId="0" fontId="54" fillId="3" borderId="1" xfId="0" applyFont="1" applyFill="1" applyBorder="1" applyAlignment="1">
      <alignment horizontal="center" vertical="center" textRotation="90" wrapText="1"/>
    </xf>
    <xf numFmtId="0" fontId="53" fillId="6" borderId="37" xfId="0" applyFont="1" applyFill="1" applyBorder="1" applyAlignment="1">
      <alignment horizontal="center" vertical="center" textRotation="90" wrapText="1"/>
    </xf>
    <xf numFmtId="0" fontId="53" fillId="6" borderId="2" xfId="0" applyFont="1" applyFill="1" applyBorder="1" applyAlignment="1">
      <alignment horizontal="center" vertical="center" textRotation="90" wrapText="1"/>
    </xf>
    <xf numFmtId="0" fontId="54" fillId="3" borderId="37" xfId="0" applyFont="1" applyFill="1" applyBorder="1" applyAlignment="1">
      <alignment horizontal="center" vertical="center" textRotation="90"/>
    </xf>
    <xf numFmtId="0" fontId="54" fillId="14" borderId="2" xfId="0" applyFont="1" applyFill="1" applyBorder="1" applyAlignment="1">
      <alignment horizontal="center" vertical="center" textRotation="90"/>
    </xf>
    <xf numFmtId="0" fontId="53" fillId="29" borderId="2" xfId="0" applyFont="1" applyFill="1" applyBorder="1" applyAlignment="1">
      <alignment horizontal="center" vertical="center" textRotation="90" wrapText="1"/>
    </xf>
    <xf numFmtId="0" fontId="53" fillId="6" borderId="1" xfId="0" applyFont="1" applyFill="1" applyBorder="1" applyAlignment="1">
      <alignment horizontal="center" vertical="center" textRotation="90" wrapText="1"/>
    </xf>
    <xf numFmtId="0" fontId="16" fillId="20" borderId="37" xfId="0" applyFont="1" applyFill="1" applyBorder="1" applyAlignment="1">
      <alignment horizontal="left" vertical="center" wrapText="1"/>
    </xf>
    <xf numFmtId="0" fontId="16" fillId="20" borderId="2" xfId="0" applyFont="1" applyFill="1" applyBorder="1" applyAlignment="1">
      <alignment horizontal="left" vertical="center" wrapText="1"/>
    </xf>
    <xf numFmtId="0" fontId="16" fillId="20" borderId="1" xfId="0" applyFont="1" applyFill="1" applyBorder="1" applyAlignment="1">
      <alignment horizontal="left" vertical="center" wrapText="1"/>
    </xf>
    <xf numFmtId="0" fontId="45" fillId="20" borderId="37" xfId="0" applyFont="1" applyFill="1" applyBorder="1" applyAlignment="1">
      <alignment horizontal="left" vertical="center" wrapText="1"/>
    </xf>
    <xf numFmtId="0" fontId="45" fillId="20" borderId="2" xfId="0" applyFont="1" applyFill="1" applyBorder="1" applyAlignment="1">
      <alignment horizontal="left" vertical="center" wrapText="1"/>
    </xf>
    <xf numFmtId="0" fontId="45" fillId="20" borderId="1" xfId="0" applyFont="1" applyFill="1" applyBorder="1" applyAlignment="1">
      <alignment horizontal="left" vertical="center" wrapText="1"/>
    </xf>
    <xf numFmtId="171" fontId="51" fillId="2" borderId="0" xfId="1" applyNumberFormat="1" applyFont="1" applyFill="1" applyBorder="1" applyAlignment="1" applyProtection="1">
      <alignment horizontal="center" vertical="center"/>
    </xf>
    <xf numFmtId="0" fontId="44" fillId="0" borderId="34" xfId="0" applyFont="1" applyFill="1" applyBorder="1" applyAlignment="1">
      <alignment horizontal="left" vertical="center"/>
    </xf>
    <xf numFmtId="171" fontId="44" fillId="2" borderId="32" xfId="1" applyNumberFormat="1" applyFont="1" applyFill="1" applyBorder="1" applyAlignment="1" applyProtection="1">
      <alignment horizontal="center" vertical="center"/>
    </xf>
    <xf numFmtId="0" fontId="45" fillId="0" borderId="34" xfId="0" applyFont="1" applyFill="1" applyBorder="1" applyAlignment="1">
      <alignment horizontal="center" vertical="center" textRotation="90" wrapText="1"/>
    </xf>
    <xf numFmtId="171" fontId="54" fillId="3" borderId="34" xfId="0" applyNumberFormat="1" applyFont="1" applyFill="1" applyBorder="1" applyAlignment="1">
      <alignment horizontal="center" vertical="center" textRotation="90" wrapText="1"/>
    </xf>
    <xf numFmtId="0" fontId="54" fillId="3" borderId="34" xfId="0" applyFont="1" applyFill="1" applyBorder="1" applyAlignment="1">
      <alignment horizontal="center" vertical="center" textRotation="90"/>
    </xf>
    <xf numFmtId="0" fontId="45" fillId="4" borderId="34" xfId="0" applyFont="1" applyFill="1" applyBorder="1" applyAlignment="1">
      <alignment horizontal="center" vertical="center" textRotation="90" wrapText="1"/>
    </xf>
    <xf numFmtId="0" fontId="45" fillId="0" borderId="37" xfId="0" applyFont="1" applyFill="1" applyBorder="1" applyAlignment="1">
      <alignment horizontal="center" vertical="center" textRotation="90" wrapText="1"/>
    </xf>
    <xf numFmtId="0" fontId="51" fillId="8" borderId="35" xfId="0" applyFont="1" applyFill="1" applyBorder="1" applyAlignment="1">
      <alignment horizontal="center" vertical="justify" wrapText="1"/>
    </xf>
    <xf numFmtId="0" fontId="51" fillId="8" borderId="36" xfId="0" applyFont="1" applyFill="1" applyBorder="1" applyAlignment="1">
      <alignment horizontal="center" vertical="justify" wrapText="1"/>
    </xf>
    <xf numFmtId="0" fontId="51" fillId="8" borderId="38" xfId="0" applyFont="1" applyFill="1" applyBorder="1" applyAlignment="1">
      <alignment horizontal="center" vertical="justify" wrapText="1"/>
    </xf>
    <xf numFmtId="172" fontId="45" fillId="4" borderId="37" xfId="0" applyNumberFormat="1" applyFont="1" applyFill="1" applyBorder="1" applyAlignment="1">
      <alignment horizontal="center" vertical="center" wrapText="1"/>
    </xf>
    <xf numFmtId="172" fontId="45" fillId="4" borderId="1" xfId="0" applyNumberFormat="1" applyFont="1" applyFill="1" applyBorder="1" applyAlignment="1">
      <alignment horizontal="center" vertical="center" wrapText="1"/>
    </xf>
    <xf numFmtId="14" fontId="45" fillId="4" borderId="1" xfId="0" applyNumberFormat="1" applyFont="1" applyFill="1" applyBorder="1" applyAlignment="1">
      <alignment horizontal="center" vertical="center" wrapText="1"/>
    </xf>
    <xf numFmtId="0" fontId="52" fillId="3" borderId="0" xfId="0" applyFont="1" applyFill="1" applyBorder="1" applyAlignment="1">
      <alignment horizontal="center" vertical="center"/>
    </xf>
    <xf numFmtId="0" fontId="44" fillId="2" borderId="0" xfId="0" applyFont="1" applyFill="1" applyBorder="1" applyAlignment="1">
      <alignment horizontal="center" vertical="center"/>
    </xf>
    <xf numFmtId="0" fontId="52" fillId="24" borderId="34" xfId="0" applyFont="1" applyFill="1" applyBorder="1" applyAlignment="1">
      <alignment horizontal="center" vertical="center"/>
    </xf>
    <xf numFmtId="0" fontId="45" fillId="2" borderId="1" xfId="0" applyFont="1" applyFill="1" applyBorder="1"/>
    <xf numFmtId="0" fontId="44" fillId="17" borderId="37" xfId="0" applyFont="1" applyFill="1" applyBorder="1" applyAlignment="1">
      <alignment horizontal="center" vertical="center" wrapText="1"/>
    </xf>
    <xf numFmtId="171" fontId="51" fillId="2" borderId="32" xfId="1" applyNumberFormat="1" applyFont="1" applyFill="1" applyBorder="1" applyAlignment="1" applyProtection="1">
      <alignment horizontal="center" vertical="center"/>
    </xf>
    <xf numFmtId="0" fontId="54" fillId="3" borderId="34" xfId="0" applyFont="1" applyFill="1" applyBorder="1" applyAlignment="1">
      <alignment horizontal="center" vertical="center" textRotation="90" wrapText="1"/>
    </xf>
    <xf numFmtId="174" fontId="45" fillId="10" borderId="37" xfId="1" applyNumberFormat="1" applyFont="1" applyFill="1" applyBorder="1" applyAlignment="1">
      <alignment horizontal="center" vertical="center" textRotation="90" wrapText="1" readingOrder="1"/>
    </xf>
    <xf numFmtId="174" fontId="45" fillId="10" borderId="1" xfId="1" applyNumberFormat="1" applyFont="1" applyFill="1" applyBorder="1" applyAlignment="1">
      <alignment horizontal="center" vertical="center" textRotation="90" wrapText="1" readingOrder="1"/>
    </xf>
    <xf numFmtId="169" fontId="77" fillId="0" borderId="32" xfId="3" applyNumberFormat="1" applyFont="1" applyBorder="1" applyAlignment="1" applyProtection="1">
      <alignment horizontal="center" vertical="center"/>
    </xf>
    <xf numFmtId="169" fontId="77" fillId="0" borderId="0" xfId="0" applyNumberFormat="1" applyFont="1" applyAlignment="1">
      <alignment horizontal="center"/>
    </xf>
    <xf numFmtId="0" fontId="38" fillId="0" borderId="35" xfId="0" applyFont="1" applyBorder="1" applyAlignment="1">
      <alignment horizontal="center"/>
    </xf>
    <xf numFmtId="0" fontId="38" fillId="0" borderId="36" xfId="0" applyFont="1" applyBorder="1" applyAlignment="1">
      <alignment horizontal="center"/>
    </xf>
    <xf numFmtId="0" fontId="38" fillId="0" borderId="38" xfId="0" applyFont="1" applyBorder="1" applyAlignment="1">
      <alignment horizontal="center"/>
    </xf>
    <xf numFmtId="0" fontId="16" fillId="0" borderId="37"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54" fillId="3" borderId="37" xfId="0" applyFont="1" applyFill="1" applyBorder="1" applyAlignment="1">
      <alignment horizontal="left" vertical="center" wrapText="1"/>
    </xf>
    <xf numFmtId="0" fontId="54" fillId="3" borderId="2" xfId="0" applyFont="1" applyFill="1" applyBorder="1" applyAlignment="1">
      <alignment horizontal="left" vertical="center" wrapText="1"/>
    </xf>
    <xf numFmtId="0" fontId="54" fillId="5" borderId="37" xfId="0" applyFont="1" applyFill="1" applyBorder="1" applyAlignment="1">
      <alignment horizontal="left" vertical="center" wrapText="1"/>
    </xf>
    <xf numFmtId="0" fontId="54" fillId="5" borderId="2" xfId="0" applyFont="1" applyFill="1" applyBorder="1" applyAlignment="1">
      <alignment horizontal="left" vertical="center" wrapText="1"/>
    </xf>
    <xf numFmtId="0" fontId="59" fillId="0" borderId="2"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5" fillId="0" borderId="37"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59" fillId="10" borderId="35" xfId="0" applyFont="1" applyFill="1" applyBorder="1" applyAlignment="1">
      <alignment horizontal="center" vertical="center" wrapText="1"/>
    </xf>
    <xf numFmtId="0" fontId="59" fillId="10" borderId="36" xfId="0" applyFont="1" applyFill="1" applyBorder="1" applyAlignment="1">
      <alignment horizontal="center" vertical="center" wrapText="1"/>
    </xf>
    <xf numFmtId="0" fontId="59" fillId="2" borderId="37" xfId="0" applyFont="1" applyFill="1" applyBorder="1" applyAlignment="1">
      <alignment horizontal="center" vertical="center" wrapText="1"/>
    </xf>
    <xf numFmtId="0" fontId="59" fillId="2" borderId="2"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9" fillId="18" borderId="34"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55" fillId="2" borderId="34" xfId="0" applyFont="1" applyFill="1" applyBorder="1" applyAlignment="1">
      <alignment horizontal="center" vertical="center" wrapText="1"/>
    </xf>
    <xf numFmtId="0" fontId="71" fillId="10" borderId="37" xfId="0" applyFont="1" applyFill="1" applyBorder="1" applyAlignment="1">
      <alignment horizontal="center" vertical="center" wrapText="1"/>
    </xf>
    <xf numFmtId="0" fontId="71" fillId="10" borderId="1" xfId="0" applyFont="1" applyFill="1" applyBorder="1" applyAlignment="1">
      <alignment horizontal="center" vertical="center" wrapText="1"/>
    </xf>
    <xf numFmtId="0" fontId="59" fillId="3" borderId="12" xfId="0" applyFont="1" applyFill="1" applyBorder="1" applyAlignment="1">
      <alignment horizontal="center" vertical="center"/>
    </xf>
    <xf numFmtId="0" fontId="59" fillId="3" borderId="14" xfId="0" applyFont="1" applyFill="1" applyBorder="1" applyAlignment="1">
      <alignment horizontal="center" vertical="center"/>
    </xf>
    <xf numFmtId="0" fontId="59" fillId="3" borderId="13" xfId="0" applyFont="1" applyFill="1" applyBorder="1" applyAlignment="1">
      <alignment horizontal="center" vertical="center" wrapText="1"/>
    </xf>
    <xf numFmtId="0" fontId="59" fillId="3" borderId="14" xfId="0" applyFont="1" applyFill="1" applyBorder="1" applyAlignment="1">
      <alignment horizontal="center" vertical="center" wrapText="1"/>
    </xf>
    <xf numFmtId="174" fontId="72" fillId="10" borderId="34" xfId="1" applyNumberFormat="1" applyFont="1" applyFill="1" applyBorder="1" applyAlignment="1">
      <alignment horizontal="left" vertical="center" wrapText="1"/>
    </xf>
    <xf numFmtId="172" fontId="55" fillId="10" borderId="37" xfId="0" applyNumberFormat="1" applyFont="1" applyFill="1" applyBorder="1" applyAlignment="1">
      <alignment horizontal="center" vertical="center" wrapText="1"/>
    </xf>
    <xf numFmtId="172" fontId="55" fillId="10" borderId="1" xfId="0" applyNumberFormat="1" applyFont="1" applyFill="1" applyBorder="1" applyAlignment="1">
      <alignment horizontal="center" vertical="center" wrapText="1"/>
    </xf>
    <xf numFmtId="0" fontId="71" fillId="10" borderId="37" xfId="0" applyFont="1" applyFill="1" applyBorder="1" applyAlignment="1">
      <alignment horizontal="center" vertical="center"/>
    </xf>
    <xf numFmtId="0" fontId="71" fillId="10" borderId="1" xfId="0" applyFont="1" applyFill="1" applyBorder="1" applyAlignment="1">
      <alignment horizontal="center" vertical="center"/>
    </xf>
    <xf numFmtId="174" fontId="55" fillId="10" borderId="34" xfId="1" applyNumberFormat="1" applyFont="1" applyFill="1" applyBorder="1" applyAlignment="1">
      <alignment horizontal="center" vertical="center" wrapText="1" readingOrder="1"/>
    </xf>
    <xf numFmtId="174" fontId="55" fillId="10" borderId="31" xfId="1" applyNumberFormat="1" applyFont="1" applyFill="1" applyBorder="1" applyAlignment="1">
      <alignment horizontal="center" vertical="center" wrapText="1" readingOrder="1"/>
    </xf>
    <xf numFmtId="174" fontId="55" fillId="10" borderId="8" xfId="1" applyNumberFormat="1" applyFont="1" applyFill="1" applyBorder="1" applyAlignment="1">
      <alignment horizontal="center" vertical="center" wrapText="1" readingOrder="1"/>
    </xf>
    <xf numFmtId="0" fontId="55" fillId="4" borderId="34" xfId="0" applyFont="1" applyFill="1" applyBorder="1" applyAlignment="1">
      <alignment horizontal="center" vertical="center" wrapText="1"/>
    </xf>
    <xf numFmtId="0" fontId="55" fillId="4" borderId="37" xfId="0" applyFont="1" applyFill="1" applyBorder="1" applyAlignment="1">
      <alignment horizontal="center" vertical="center" wrapText="1"/>
    </xf>
    <xf numFmtId="172" fontId="55" fillId="4" borderId="37" xfId="0" applyNumberFormat="1" applyFont="1" applyFill="1" applyBorder="1" applyAlignment="1">
      <alignment horizontal="center" vertical="center" wrapText="1"/>
    </xf>
    <xf numFmtId="172" fontId="55" fillId="4" borderId="1" xfId="0" applyNumberFormat="1" applyFont="1" applyFill="1" applyBorder="1" applyAlignment="1">
      <alignment horizontal="center" vertical="center" wrapText="1"/>
    </xf>
    <xf numFmtId="172" fontId="59" fillId="4" borderId="36" xfId="0" applyNumberFormat="1" applyFont="1" applyFill="1" applyBorder="1" applyAlignment="1">
      <alignment horizontal="center" vertical="center" wrapText="1"/>
    </xf>
    <xf numFmtId="172" fontId="59" fillId="4" borderId="38" xfId="0" applyNumberFormat="1" applyFont="1" applyFill="1" applyBorder="1" applyAlignment="1">
      <alignment horizontal="center" vertical="center" wrapText="1"/>
    </xf>
    <xf numFmtId="0" fontId="55" fillId="4" borderId="2" xfId="0" applyFont="1" applyFill="1" applyBorder="1" applyAlignment="1">
      <alignment horizontal="center" vertical="center" wrapText="1"/>
    </xf>
    <xf numFmtId="172" fontId="55" fillId="4" borderId="2" xfId="0" applyNumberFormat="1" applyFont="1" applyFill="1" applyBorder="1" applyAlignment="1">
      <alignment horizontal="center" vertical="center" wrapText="1"/>
    </xf>
    <xf numFmtId="0" fontId="55" fillId="3" borderId="21" xfId="0" applyFont="1" applyFill="1" applyBorder="1" applyAlignment="1">
      <alignment horizontal="left" vertical="center" wrapText="1"/>
    </xf>
    <xf numFmtId="0" fontId="55" fillId="3" borderId="22" xfId="0" applyFont="1" applyFill="1" applyBorder="1" applyAlignment="1">
      <alignment horizontal="left" vertical="center" wrapText="1"/>
    </xf>
    <xf numFmtId="0" fontId="55" fillId="3" borderId="23" xfId="0" applyFont="1" applyFill="1" applyBorder="1" applyAlignment="1">
      <alignment horizontal="left" vertical="center" wrapText="1"/>
    </xf>
    <xf numFmtId="0" fontId="59" fillId="3" borderId="0" xfId="0" applyFont="1" applyFill="1" applyBorder="1" applyAlignment="1">
      <alignment horizontal="center" vertical="center" wrapText="1"/>
    </xf>
    <xf numFmtId="0" fontId="59" fillId="3" borderId="11" xfId="0" applyFont="1" applyFill="1" applyBorder="1" applyAlignment="1">
      <alignment horizontal="center" vertical="center" wrapText="1"/>
    </xf>
    <xf numFmtId="172" fontId="55" fillId="3" borderId="15" xfId="0" applyNumberFormat="1" applyFont="1" applyFill="1" applyBorder="1" applyAlignment="1">
      <alignment horizontal="left" vertical="center" wrapText="1"/>
    </xf>
    <xf numFmtId="172" fontId="55" fillId="3" borderId="16" xfId="0" applyNumberFormat="1" applyFont="1" applyFill="1" applyBorder="1" applyAlignment="1">
      <alignment horizontal="left" vertical="center" wrapText="1"/>
    </xf>
    <xf numFmtId="172" fontId="55" fillId="3" borderId="17" xfId="0" applyNumberFormat="1" applyFont="1" applyFill="1" applyBorder="1" applyAlignment="1">
      <alignment horizontal="left" vertical="center" wrapText="1"/>
    </xf>
    <xf numFmtId="174" fontId="55" fillId="10" borderId="37" xfId="1" applyNumberFormat="1" applyFont="1" applyFill="1" applyBorder="1" applyAlignment="1">
      <alignment horizontal="center" vertical="center" wrapText="1" readingOrder="1"/>
    </xf>
    <xf numFmtId="174" fontId="55" fillId="10" borderId="1" xfId="1" applyNumberFormat="1" applyFont="1" applyFill="1" applyBorder="1" applyAlignment="1">
      <alignment horizontal="center" vertical="center" wrapText="1" readingOrder="1"/>
    </xf>
    <xf numFmtId="172" fontId="55" fillId="3" borderId="39" xfId="0" applyNumberFormat="1" applyFont="1" applyFill="1" applyBorder="1" applyAlignment="1">
      <alignment horizontal="center" vertical="center" wrapText="1"/>
    </xf>
    <xf numFmtId="172" fontId="55" fillId="3" borderId="40" xfId="0" applyNumberFormat="1" applyFont="1" applyFill="1" applyBorder="1" applyAlignment="1">
      <alignment horizontal="center" vertical="center" wrapText="1"/>
    </xf>
    <xf numFmtId="174" fontId="71" fillId="10" borderId="36" xfId="1" applyNumberFormat="1" applyFont="1" applyFill="1" applyBorder="1" applyAlignment="1">
      <alignment horizontal="center" vertical="center" wrapText="1"/>
    </xf>
    <xf numFmtId="174" fontId="71" fillId="10" borderId="38" xfId="1" applyNumberFormat="1" applyFont="1" applyFill="1" applyBorder="1" applyAlignment="1">
      <alignment horizontal="center" vertical="center" wrapText="1"/>
    </xf>
    <xf numFmtId="0" fontId="72" fillId="2" borderId="0" xfId="0" applyFont="1" applyFill="1" applyAlignment="1">
      <alignment horizontal="center" vertical="center"/>
    </xf>
    <xf numFmtId="171" fontId="57" fillId="2" borderId="32" xfId="1" applyNumberFormat="1" applyFont="1" applyFill="1" applyBorder="1" applyAlignment="1" applyProtection="1">
      <alignment horizontal="center" vertical="center"/>
    </xf>
    <xf numFmtId="0" fontId="55" fillId="0" borderId="0" xfId="0" applyFont="1" applyFill="1" applyBorder="1" applyAlignment="1">
      <alignment horizontal="center" vertical="center"/>
    </xf>
    <xf numFmtId="0" fontId="59" fillId="0" borderId="32" xfId="0" applyFont="1" applyFill="1" applyBorder="1" applyAlignment="1">
      <alignment horizontal="center" vertical="center"/>
    </xf>
    <xf numFmtId="0" fontId="55" fillId="2" borderId="0" xfId="44" applyFont="1" applyFill="1" applyAlignment="1">
      <alignment horizontal="center" vertical="center"/>
    </xf>
    <xf numFmtId="0" fontId="59" fillId="2" borderId="32" xfId="44" applyFont="1" applyFill="1" applyBorder="1" applyAlignment="1">
      <alignment horizontal="center" vertical="center"/>
    </xf>
    <xf numFmtId="0" fontId="59" fillId="2" borderId="35" xfId="0" applyFont="1" applyFill="1" applyBorder="1" applyAlignment="1">
      <alignment horizontal="center" vertical="center" wrapText="1" readingOrder="1"/>
    </xf>
    <xf numFmtId="0" fontId="59" fillId="2" borderId="36" xfId="0" applyFont="1" applyFill="1" applyBorder="1" applyAlignment="1">
      <alignment horizontal="center" vertical="center" wrapText="1" readingOrder="1"/>
    </xf>
    <xf numFmtId="0" fontId="59" fillId="2" borderId="35" xfId="0" applyFont="1" applyFill="1" applyBorder="1" applyAlignment="1">
      <alignment horizontal="center" vertical="center" wrapText="1"/>
    </xf>
    <xf numFmtId="0" fontId="59" fillId="2" borderId="36" xfId="0" applyFont="1" applyFill="1" applyBorder="1" applyAlignment="1">
      <alignment horizontal="center" vertical="center" wrapText="1"/>
    </xf>
    <xf numFmtId="3" fontId="55" fillId="2" borderId="0" xfId="0" applyNumberFormat="1" applyFont="1" applyFill="1" applyBorder="1" applyAlignment="1">
      <alignment horizontal="center" vertical="center"/>
    </xf>
    <xf numFmtId="0" fontId="59" fillId="18" borderId="35" xfId="0" applyFont="1" applyFill="1" applyBorder="1" applyAlignment="1">
      <alignment horizontal="center" vertical="center" wrapText="1" readingOrder="1"/>
    </xf>
    <xf numFmtId="0" fontId="59" fillId="18" borderId="36" xfId="0" applyFont="1" applyFill="1" applyBorder="1" applyAlignment="1">
      <alignment horizontal="center" vertical="center" wrapText="1" readingOrder="1"/>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62" fillId="30" borderId="34" xfId="2564" applyProtection="1">
      <alignment horizontal="left" vertical="center" wrapText="1"/>
    </xf>
    <xf numFmtId="0" fontId="0" fillId="0" borderId="0" xfId="0" applyProtection="1">
      <protection locked="0"/>
    </xf>
    <xf numFmtId="1" fontId="0" fillId="0" borderId="0" xfId="0" applyNumberFormat="1" applyProtection="1">
      <protection locked="0"/>
    </xf>
    <xf numFmtId="0" fontId="66" fillId="10" borderId="50" xfId="0" applyFont="1" applyFill="1" applyBorder="1" applyAlignment="1">
      <alignment horizontal="justify" vertical="center" wrapText="1"/>
    </xf>
    <xf numFmtId="0" fontId="66" fillId="10" borderId="46" xfId="0" applyFont="1" applyFill="1" applyBorder="1" applyAlignment="1">
      <alignment horizontal="justify" vertical="center" wrapText="1"/>
    </xf>
    <xf numFmtId="0" fontId="66" fillId="10" borderId="50" xfId="0" applyFont="1" applyFill="1" applyBorder="1" applyAlignment="1">
      <alignment horizontal="center" vertical="center" wrapText="1"/>
    </xf>
    <xf numFmtId="0" fontId="66" fillId="10" borderId="46" xfId="0" applyFont="1" applyFill="1" applyBorder="1" applyAlignment="1">
      <alignment horizontal="center" vertical="center" wrapText="1"/>
    </xf>
    <xf numFmtId="0" fontId="66" fillId="12" borderId="50" xfId="0" applyFont="1" applyFill="1" applyBorder="1" applyAlignment="1">
      <alignment horizontal="justify" vertical="center" wrapText="1"/>
    </xf>
    <xf numFmtId="0" fontId="66" fillId="12" borderId="46" xfId="0" applyFont="1" applyFill="1" applyBorder="1" applyAlignment="1">
      <alignment horizontal="justify" vertical="center" wrapText="1"/>
    </xf>
    <xf numFmtId="0" fontId="66" fillId="12" borderId="50" xfId="0" applyFont="1" applyFill="1" applyBorder="1" applyAlignment="1">
      <alignment horizontal="center" vertical="center" wrapText="1"/>
    </xf>
    <xf numFmtId="0" fontId="66" fillId="12" borderId="46" xfId="0" applyFont="1" applyFill="1" applyBorder="1" applyAlignment="1">
      <alignment horizontal="center" vertical="center" wrapText="1"/>
    </xf>
    <xf numFmtId="0" fontId="63" fillId="12" borderId="50" xfId="2566" applyFill="1" applyBorder="1" applyAlignment="1">
      <alignment horizontal="center" vertical="center" wrapText="1"/>
    </xf>
    <xf numFmtId="0" fontId="63" fillId="12" borderId="46" xfId="2566" applyFill="1" applyBorder="1" applyAlignment="1">
      <alignment horizontal="center" vertical="center" wrapText="1"/>
    </xf>
    <xf numFmtId="0" fontId="42" fillId="0" borderId="0" xfId="0" applyFont="1" applyAlignment="1">
      <alignment horizontal="center"/>
    </xf>
    <xf numFmtId="0" fontId="42" fillId="27" borderId="0" xfId="0" applyFont="1" applyFill="1" applyAlignment="1">
      <alignment horizontal="center"/>
    </xf>
    <xf numFmtId="0" fontId="0" fillId="0" borderId="34" xfId="0" applyBorder="1" applyAlignment="1">
      <alignment horizontal="center"/>
    </xf>
    <xf numFmtId="0" fontId="41" fillId="0" borderId="35" xfId="0" applyFont="1" applyBorder="1" applyAlignment="1">
      <alignment horizontal="center" vertical="center"/>
    </xf>
    <xf numFmtId="0" fontId="41" fillId="0" borderId="36" xfId="0" applyFont="1" applyBorder="1" applyAlignment="1">
      <alignment horizontal="center" vertical="center"/>
    </xf>
    <xf numFmtId="0" fontId="41" fillId="0" borderId="38" xfId="0" applyFont="1" applyBorder="1" applyAlignment="1">
      <alignment horizontal="center" vertical="center"/>
    </xf>
    <xf numFmtId="169" fontId="61" fillId="0" borderId="0" xfId="0" applyNumberFormat="1" applyFont="1" applyAlignment="1">
      <alignment horizontal="center"/>
    </xf>
    <xf numFmtId="171" fontId="30" fillId="2" borderId="0" xfId="1" applyNumberFormat="1" applyFont="1" applyFill="1" applyBorder="1" applyAlignment="1" applyProtection="1">
      <alignment horizontal="center" vertical="center"/>
    </xf>
    <xf numFmtId="0" fontId="16" fillId="6" borderId="2" xfId="0" applyFont="1" applyFill="1" applyBorder="1" applyAlignment="1">
      <alignment horizontal="center" vertical="center" wrapText="1"/>
    </xf>
    <xf numFmtId="0" fontId="56" fillId="3" borderId="37" xfId="0" applyFont="1" applyFill="1" applyBorder="1" applyAlignment="1">
      <alignment horizontal="left" vertical="center" wrapText="1"/>
    </xf>
    <xf numFmtId="0" fontId="56" fillId="3" borderId="2" xfId="0" applyFont="1" applyFill="1" applyBorder="1" applyAlignment="1">
      <alignment horizontal="left" vertical="center" wrapText="1"/>
    </xf>
    <xf numFmtId="0" fontId="56" fillId="3" borderId="1" xfId="0" applyFont="1" applyFill="1" applyBorder="1" applyAlignment="1">
      <alignment horizontal="left" vertical="center" wrapText="1"/>
    </xf>
    <xf numFmtId="0" fontId="55" fillId="0" borderId="28" xfId="0" applyFont="1" applyFill="1" applyBorder="1" applyAlignment="1">
      <alignment horizontal="left" vertical="center"/>
    </xf>
    <xf numFmtId="0" fontId="55" fillId="0" borderId="29" xfId="0" applyFont="1" applyFill="1" applyBorder="1" applyAlignment="1">
      <alignment horizontal="left" vertical="center"/>
    </xf>
    <xf numFmtId="0" fontId="55" fillId="0" borderId="30" xfId="0" applyFont="1" applyFill="1" applyBorder="1" applyAlignment="1">
      <alignment horizontal="left" vertical="center"/>
    </xf>
    <xf numFmtId="0" fontId="55" fillId="0" borderId="35" xfId="0" applyFont="1" applyFill="1" applyBorder="1" applyAlignment="1">
      <alignment horizontal="left" vertical="center"/>
    </xf>
    <xf numFmtId="0" fontId="55" fillId="0" borderId="36" xfId="0" applyFont="1" applyFill="1" applyBorder="1" applyAlignment="1">
      <alignment horizontal="left" vertical="center"/>
    </xf>
    <xf numFmtId="0" fontId="55" fillId="0" borderId="38" xfId="0" applyFont="1" applyFill="1" applyBorder="1" applyAlignment="1">
      <alignment horizontal="left" vertical="center"/>
    </xf>
    <xf numFmtId="0" fontId="58" fillId="5" borderId="34" xfId="0" applyFont="1" applyFill="1" applyBorder="1" applyAlignment="1">
      <alignment horizontal="center" vertical="center"/>
    </xf>
    <xf numFmtId="0" fontId="59" fillId="0" borderId="35" xfId="0" applyFont="1" applyFill="1" applyBorder="1" applyAlignment="1">
      <alignment horizontal="left" vertical="center"/>
    </xf>
    <xf numFmtId="0" fontId="59" fillId="0" borderId="36" xfId="0" applyFont="1" applyFill="1" applyBorder="1" applyAlignment="1">
      <alignment horizontal="left" vertical="center"/>
    </xf>
    <xf numFmtId="0" fontId="59" fillId="0" borderId="38" xfId="0" applyFont="1" applyFill="1" applyBorder="1" applyAlignment="1">
      <alignment horizontal="left" vertical="center"/>
    </xf>
    <xf numFmtId="0" fontId="59" fillId="0" borderId="28" xfId="0" applyFont="1" applyFill="1" applyBorder="1" applyAlignment="1">
      <alignment horizontal="left" vertical="center"/>
    </xf>
    <xf numFmtId="0" fontId="59" fillId="0" borderId="29" xfId="0" applyFont="1" applyFill="1" applyBorder="1" applyAlignment="1">
      <alignment horizontal="left" vertical="center"/>
    </xf>
    <xf numFmtId="0" fontId="59" fillId="0" borderId="30" xfId="0" applyFont="1" applyFill="1" applyBorder="1" applyAlignment="1">
      <alignment horizontal="left" vertical="center"/>
    </xf>
    <xf numFmtId="0" fontId="30" fillId="21" borderId="34" xfId="0" applyFont="1" applyFill="1" applyBorder="1" applyAlignment="1">
      <alignment horizontal="center" vertical="center" wrapText="1"/>
    </xf>
    <xf numFmtId="0" fontId="21" fillId="3" borderId="27" xfId="0" applyFont="1" applyFill="1" applyBorder="1" applyAlignment="1">
      <alignment horizontal="left" vertical="center"/>
    </xf>
    <xf numFmtId="0" fontId="21" fillId="3" borderId="34" xfId="0" applyFont="1" applyFill="1" applyBorder="1" applyAlignment="1">
      <alignment horizontal="left" vertical="center"/>
    </xf>
    <xf numFmtId="0" fontId="21" fillId="3" borderId="35" xfId="0" applyFont="1" applyFill="1" applyBorder="1" applyAlignment="1">
      <alignment horizontal="left" vertical="center"/>
    </xf>
    <xf numFmtId="0" fontId="21" fillId="3" borderId="8" xfId="0" applyFont="1" applyFill="1" applyBorder="1" applyAlignment="1">
      <alignment horizontal="left" vertical="center"/>
    </xf>
    <xf numFmtId="0" fontId="21" fillId="3" borderId="3" xfId="0" applyFont="1" applyFill="1" applyBorder="1" applyAlignment="1">
      <alignment horizontal="left" vertical="center"/>
    </xf>
    <xf numFmtId="0" fontId="21" fillId="3" borderId="4" xfId="0" applyFont="1" applyFill="1" applyBorder="1" applyAlignment="1">
      <alignment horizontal="left" vertical="center"/>
    </xf>
    <xf numFmtId="0" fontId="21" fillId="3" borderId="28" xfId="0" applyFont="1" applyFill="1" applyBorder="1" applyAlignment="1">
      <alignment horizontal="left" vertical="center"/>
    </xf>
    <xf numFmtId="0" fontId="21" fillId="3" borderId="29" xfId="0" applyFont="1" applyFill="1" applyBorder="1" applyAlignment="1">
      <alignment horizontal="left" vertical="center"/>
    </xf>
    <xf numFmtId="0" fontId="21" fillId="3" borderId="30" xfId="0" applyFont="1" applyFill="1" applyBorder="1" applyAlignment="1">
      <alignment horizontal="left" vertical="center"/>
    </xf>
    <xf numFmtId="174" fontId="46" fillId="10" borderId="37" xfId="1" applyNumberFormat="1" applyFont="1" applyFill="1" applyBorder="1" applyAlignment="1">
      <alignment horizontal="center" vertical="center" textRotation="90" wrapText="1" readingOrder="1"/>
    </xf>
    <xf numFmtId="0" fontId="49" fillId="0" borderId="1" xfId="0" applyFont="1" applyBorder="1" applyAlignment="1">
      <alignment horizontal="center" vertical="center"/>
    </xf>
    <xf numFmtId="174" fontId="46" fillId="10" borderId="34" xfId="1" applyNumberFormat="1" applyFont="1" applyFill="1" applyBorder="1" applyAlignment="1">
      <alignment horizontal="center" vertical="center" textRotation="90" wrapText="1" readingOrder="1"/>
    </xf>
    <xf numFmtId="172" fontId="46" fillId="10" borderId="37" xfId="0" applyNumberFormat="1" applyFont="1" applyFill="1" applyBorder="1" applyAlignment="1">
      <alignment horizontal="center" vertical="center" wrapText="1"/>
    </xf>
    <xf numFmtId="172" fontId="46" fillId="10" borderId="1" xfId="0" applyNumberFormat="1" applyFont="1" applyFill="1" applyBorder="1" applyAlignment="1">
      <alignment horizontal="center" vertical="center" wrapText="1"/>
    </xf>
    <xf numFmtId="0" fontId="47" fillId="10" borderId="37" xfId="0" applyFont="1" applyFill="1" applyBorder="1" applyAlignment="1">
      <alignment horizontal="center" vertical="center"/>
    </xf>
    <xf numFmtId="0" fontId="47" fillId="10" borderId="1" xfId="0" applyFont="1" applyFill="1" applyBorder="1" applyAlignment="1">
      <alignment horizontal="center" vertical="center"/>
    </xf>
    <xf numFmtId="174" fontId="47" fillId="10" borderId="35" xfId="1" applyNumberFormat="1" applyFont="1" applyFill="1" applyBorder="1" applyAlignment="1">
      <alignment horizontal="center" vertical="center" wrapText="1"/>
    </xf>
    <xf numFmtId="174" fontId="47" fillId="10" borderId="36" xfId="1" applyNumberFormat="1" applyFont="1" applyFill="1" applyBorder="1" applyAlignment="1">
      <alignment horizontal="center" vertical="center" wrapText="1"/>
    </xf>
    <xf numFmtId="174" fontId="47" fillId="10" borderId="38" xfId="1" applyNumberFormat="1" applyFont="1" applyFill="1" applyBorder="1" applyAlignment="1">
      <alignment horizontal="center" vertical="center" wrapText="1"/>
    </xf>
    <xf numFmtId="0" fontId="27" fillId="6" borderId="2" xfId="0" applyFont="1" applyFill="1" applyBorder="1" applyAlignment="1">
      <alignment horizontal="center" vertical="center" textRotation="90" wrapText="1"/>
    </xf>
    <xf numFmtId="0" fontId="27" fillId="6" borderId="1" xfId="0" applyFont="1" applyFill="1" applyBorder="1" applyAlignment="1">
      <alignment horizontal="center" vertical="center" textRotation="90" wrapText="1"/>
    </xf>
    <xf numFmtId="0" fontId="30" fillId="8" borderId="35" xfId="0" applyFont="1" applyFill="1" applyBorder="1" applyAlignment="1">
      <alignment horizontal="center" vertical="center" wrapText="1"/>
    </xf>
    <xf numFmtId="0" fontId="30" fillId="8" borderId="36" xfId="0" applyFont="1" applyFill="1" applyBorder="1" applyAlignment="1">
      <alignment horizontal="center" vertical="center" wrapText="1"/>
    </xf>
    <xf numFmtId="0" fontId="30" fillId="9" borderId="34" xfId="0" applyFont="1" applyFill="1" applyBorder="1" applyAlignment="1">
      <alignment horizontal="center" vertical="center" wrapText="1"/>
    </xf>
    <xf numFmtId="0" fontId="27" fillId="9" borderId="34" xfId="0" applyFont="1" applyFill="1" applyBorder="1" applyAlignment="1">
      <alignment horizontal="center" vertical="center" wrapText="1"/>
    </xf>
    <xf numFmtId="0" fontId="22" fillId="0" borderId="0" xfId="0" applyFont="1" applyBorder="1" applyAlignment="1">
      <alignment horizontal="center" vertical="center"/>
    </xf>
    <xf numFmtId="0" fontId="21" fillId="3" borderId="36" xfId="0" applyFont="1" applyFill="1" applyBorder="1" applyAlignment="1">
      <alignment horizontal="left" vertical="center"/>
    </xf>
    <xf numFmtId="0" fontId="24" fillId="3" borderId="28" xfId="0" applyFont="1" applyFill="1" applyBorder="1" applyAlignment="1">
      <alignment horizontal="left" vertical="center"/>
    </xf>
    <xf numFmtId="0" fontId="24" fillId="3" borderId="29" xfId="0" applyFont="1" applyFill="1" applyBorder="1" applyAlignment="1">
      <alignment horizontal="left" vertical="center"/>
    </xf>
    <xf numFmtId="0" fontId="24" fillId="3" borderId="30" xfId="0" applyFont="1" applyFill="1" applyBorder="1" applyAlignment="1">
      <alignment horizontal="left" vertical="center"/>
    </xf>
    <xf numFmtId="174" fontId="48" fillId="10" borderId="37" xfId="1" applyNumberFormat="1" applyFont="1" applyFill="1" applyBorder="1" applyAlignment="1">
      <alignment horizontal="left" vertical="center" wrapText="1"/>
    </xf>
    <xf numFmtId="174" fontId="48" fillId="10" borderId="1" xfId="1" applyNumberFormat="1" applyFont="1" applyFill="1" applyBorder="1" applyAlignment="1">
      <alignment horizontal="left" vertical="center" wrapText="1"/>
    </xf>
    <xf numFmtId="0" fontId="25" fillId="8" borderId="35" xfId="0" applyFont="1" applyFill="1" applyBorder="1" applyAlignment="1">
      <alignment horizontal="center" vertical="center" wrapText="1"/>
    </xf>
    <xf numFmtId="0" fontId="25" fillId="8" borderId="36" xfId="0" applyFont="1" applyFill="1" applyBorder="1" applyAlignment="1">
      <alignment horizontal="center" vertical="center" wrapText="1"/>
    </xf>
    <xf numFmtId="0" fontId="18" fillId="6" borderId="2" xfId="0" applyFont="1" applyFill="1" applyBorder="1" applyAlignment="1">
      <alignment horizontal="center" vertical="center" textRotation="90" wrapText="1"/>
    </xf>
    <xf numFmtId="0" fontId="27" fillId="6" borderId="37" xfId="0" applyFont="1" applyFill="1" applyBorder="1" applyAlignment="1">
      <alignment horizontal="left" vertical="top" wrapText="1"/>
    </xf>
    <xf numFmtId="0" fontId="27" fillId="6" borderId="1" xfId="0" applyFont="1" applyFill="1" applyBorder="1" applyAlignment="1">
      <alignment horizontal="left" vertical="top" wrapText="1"/>
    </xf>
    <xf numFmtId="0" fontId="18" fillId="6" borderId="37" xfId="0" applyFont="1" applyFill="1" applyBorder="1" applyAlignment="1">
      <alignment horizontal="center" vertical="center" textRotation="90" wrapText="1"/>
    </xf>
    <xf numFmtId="174" fontId="46" fillId="10" borderId="34" xfId="1" applyNumberFormat="1" applyFont="1" applyFill="1" applyBorder="1" applyAlignment="1">
      <alignment horizontal="center" vertical="center" wrapText="1" readingOrder="1"/>
    </xf>
    <xf numFmtId="174" fontId="46" fillId="10" borderId="37" xfId="1" applyNumberFormat="1" applyFont="1" applyFill="1" applyBorder="1" applyAlignment="1">
      <alignment horizontal="center" vertical="center" wrapText="1" readingOrder="1"/>
    </xf>
    <xf numFmtId="174" fontId="46" fillId="10" borderId="1" xfId="1" applyNumberFormat="1" applyFont="1" applyFill="1" applyBorder="1" applyAlignment="1">
      <alignment horizontal="center" vertical="center" wrapText="1" readingOrder="1"/>
    </xf>
    <xf numFmtId="174" fontId="46" fillId="10" borderId="37" xfId="1" applyNumberFormat="1" applyFont="1" applyFill="1" applyBorder="1" applyAlignment="1">
      <alignment horizontal="center" vertical="center" wrapText="1"/>
    </xf>
    <xf numFmtId="174" fontId="46" fillId="10" borderId="1" xfId="1" applyNumberFormat="1" applyFont="1" applyFill="1" applyBorder="1" applyAlignment="1">
      <alignment horizontal="center" vertical="center" wrapText="1"/>
    </xf>
    <xf numFmtId="0" fontId="25" fillId="9" borderId="35" xfId="0" applyFont="1" applyFill="1" applyBorder="1" applyAlignment="1">
      <alignment horizontal="center" vertical="center" wrapText="1"/>
    </xf>
    <xf numFmtId="0" fontId="25" fillId="9" borderId="36" xfId="0" applyFont="1" applyFill="1" applyBorder="1" applyAlignment="1">
      <alignment horizontal="center" vertical="center" wrapText="1"/>
    </xf>
    <xf numFmtId="0" fontId="25" fillId="12" borderId="34" xfId="0" applyFont="1" applyFill="1" applyBorder="1" applyAlignment="1">
      <alignment horizontal="center" vertical="center" wrapText="1"/>
    </xf>
    <xf numFmtId="0" fontId="27" fillId="6" borderId="34" xfId="0" applyFont="1" applyFill="1" applyBorder="1" applyAlignment="1">
      <alignment horizontal="center" vertical="center" textRotation="90" wrapText="1"/>
    </xf>
    <xf numFmtId="0" fontId="27" fillId="6" borderId="37" xfId="0" applyFont="1" applyFill="1" applyBorder="1" applyAlignment="1">
      <alignment horizontal="center" vertical="center" textRotation="90" wrapText="1"/>
    </xf>
    <xf numFmtId="0" fontId="28" fillId="2" borderId="0" xfId="0" applyFont="1" applyFill="1" applyBorder="1" applyAlignment="1">
      <alignment horizontal="center" vertical="center"/>
    </xf>
    <xf numFmtId="0" fontId="14" fillId="6" borderId="37"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55" fillId="0" borderId="34" xfId="0" applyFont="1" applyFill="1" applyBorder="1" applyAlignment="1">
      <alignment horizontal="center" vertical="center" textRotation="90" wrapText="1"/>
    </xf>
    <xf numFmtId="0" fontId="16" fillId="2" borderId="37"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8" fillId="24" borderId="34" xfId="0" applyFont="1" applyFill="1" applyBorder="1" applyAlignment="1">
      <alignment horizontal="center" vertical="center"/>
    </xf>
    <xf numFmtId="0" fontId="55" fillId="2" borderId="34" xfId="0" applyFont="1" applyFill="1" applyBorder="1"/>
    <xf numFmtId="0" fontId="25" fillId="8" borderId="38" xfId="0" applyFont="1" applyFill="1" applyBorder="1" applyAlignment="1">
      <alignment horizontal="center" vertical="center" wrapText="1"/>
    </xf>
    <xf numFmtId="174" fontId="39" fillId="10" borderId="37" xfId="1" applyNumberFormat="1" applyFont="1" applyFill="1" applyBorder="1" applyAlignment="1">
      <alignment horizontal="left" vertical="center" wrapText="1"/>
    </xf>
    <xf numFmtId="174" fontId="39" fillId="10" borderId="1" xfId="1" applyNumberFormat="1" applyFont="1" applyFill="1" applyBorder="1" applyAlignment="1">
      <alignment horizontal="left" vertical="center" wrapText="1"/>
    </xf>
    <xf numFmtId="172" fontId="31" fillId="10" borderId="37" xfId="0" applyNumberFormat="1" applyFont="1" applyFill="1" applyBorder="1" applyAlignment="1">
      <alignment horizontal="center" vertical="center" wrapText="1"/>
    </xf>
    <xf numFmtId="172" fontId="31" fillId="10" borderId="1" xfId="0" applyNumberFormat="1" applyFont="1" applyFill="1" applyBorder="1" applyAlignment="1">
      <alignment horizontal="center" vertical="center" wrapText="1"/>
    </xf>
    <xf numFmtId="0" fontId="40" fillId="10" borderId="37" xfId="0" applyFont="1" applyFill="1" applyBorder="1" applyAlignment="1">
      <alignment horizontal="center" vertical="center"/>
    </xf>
    <xf numFmtId="0" fontId="40" fillId="10" borderId="1" xfId="0" applyFont="1" applyFill="1" applyBorder="1" applyAlignment="1">
      <alignment horizontal="center" vertical="center"/>
    </xf>
    <xf numFmtId="0" fontId="56" fillId="3" borderId="34" xfId="0" applyFont="1" applyFill="1" applyBorder="1" applyAlignment="1">
      <alignment horizontal="center" vertical="center" textRotation="90"/>
    </xf>
    <xf numFmtId="171" fontId="56" fillId="3" borderId="34" xfId="0" applyNumberFormat="1" applyFont="1" applyFill="1" applyBorder="1" applyAlignment="1">
      <alignment horizontal="center" vertical="center" textRotation="90" wrapText="1"/>
    </xf>
    <xf numFmtId="0" fontId="57" fillId="8" borderId="34" xfId="0" applyFont="1" applyFill="1" applyBorder="1" applyAlignment="1">
      <alignment horizontal="center" vertical="center" wrapText="1"/>
    </xf>
    <xf numFmtId="174" fontId="31" fillId="10" borderId="37" xfId="1" applyNumberFormat="1" applyFont="1" applyFill="1" applyBorder="1" applyAlignment="1">
      <alignment horizontal="center" vertical="center" wrapText="1" readingOrder="1"/>
    </xf>
    <xf numFmtId="174" fontId="31" fillId="10" borderId="1" xfId="1" applyNumberFormat="1" applyFont="1" applyFill="1" applyBorder="1" applyAlignment="1">
      <alignment horizontal="center" vertical="center" wrapText="1" readingOrder="1"/>
    </xf>
    <xf numFmtId="0" fontId="16" fillId="0" borderId="3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56" fillId="3" borderId="34" xfId="0" applyFont="1" applyFill="1" applyBorder="1" applyAlignment="1">
      <alignment horizontal="center" vertical="center" textRotation="90" wrapText="1"/>
    </xf>
    <xf numFmtId="0" fontId="56" fillId="3" borderId="37" xfId="0" applyFont="1" applyFill="1" applyBorder="1" applyAlignment="1">
      <alignment horizontal="center" vertical="center" textRotation="90" wrapText="1"/>
    </xf>
    <xf numFmtId="0" fontId="56" fillId="3" borderId="2" xfId="0" applyFont="1" applyFill="1" applyBorder="1" applyAlignment="1">
      <alignment horizontal="center" vertical="center" textRotation="90" wrapText="1"/>
    </xf>
    <xf numFmtId="0" fontId="56" fillId="3" borderId="1" xfId="0" applyFont="1" applyFill="1" applyBorder="1" applyAlignment="1">
      <alignment horizontal="center" vertical="center" textRotation="90" wrapText="1"/>
    </xf>
    <xf numFmtId="174" fontId="31" fillId="10" borderId="37" xfId="1" applyNumberFormat="1" applyFont="1" applyFill="1" applyBorder="1" applyAlignment="1">
      <alignment horizontal="center" vertical="center" wrapText="1"/>
    </xf>
    <xf numFmtId="174" fontId="31" fillId="10" borderId="1" xfId="1" applyNumberFormat="1" applyFont="1" applyFill="1" applyBorder="1" applyAlignment="1">
      <alignment horizontal="center" vertical="center" wrapText="1"/>
    </xf>
    <xf numFmtId="174" fontId="40" fillId="10" borderId="35" xfId="1" applyNumberFormat="1" applyFont="1" applyFill="1" applyBorder="1" applyAlignment="1">
      <alignment horizontal="center" vertical="center" wrapText="1"/>
    </xf>
    <xf numFmtId="174" fontId="40" fillId="10" borderId="36" xfId="1" applyNumberFormat="1" applyFont="1" applyFill="1" applyBorder="1" applyAlignment="1">
      <alignment horizontal="center" vertical="center" wrapText="1"/>
    </xf>
    <xf numFmtId="174" fontId="40" fillId="10" borderId="38" xfId="1" applyNumberFormat="1" applyFont="1" applyFill="1" applyBorder="1" applyAlignment="1">
      <alignment horizontal="center" vertical="center" wrapText="1"/>
    </xf>
    <xf numFmtId="174" fontId="22" fillId="10" borderId="37" xfId="1" applyNumberFormat="1" applyFont="1" applyFill="1" applyBorder="1" applyAlignment="1">
      <alignment horizontal="center" vertical="center" textRotation="90" wrapText="1" readingOrder="1"/>
    </xf>
    <xf numFmtId="174" fontId="22" fillId="10" borderId="1" xfId="1" applyNumberFormat="1" applyFont="1" applyFill="1" applyBorder="1" applyAlignment="1">
      <alignment horizontal="center" vertical="center" textRotation="90" wrapText="1" readingOrder="1"/>
    </xf>
    <xf numFmtId="0" fontId="25" fillId="8" borderId="36" xfId="0" applyFont="1" applyFill="1" applyBorder="1" applyAlignment="1">
      <alignment horizontal="center" vertical="justify" wrapText="1"/>
    </xf>
    <xf numFmtId="0" fontId="25" fillId="8" borderId="38" xfId="0" applyFont="1" applyFill="1" applyBorder="1" applyAlignment="1">
      <alignment horizontal="center" vertical="justify" wrapText="1"/>
    </xf>
    <xf numFmtId="0" fontId="22" fillId="17" borderId="34" xfId="0" applyFont="1" applyFill="1" applyBorder="1" applyAlignment="1">
      <alignment horizontal="center" vertical="center" wrapText="1"/>
    </xf>
    <xf numFmtId="0" fontId="24" fillId="5" borderId="34" xfId="0" applyFont="1" applyFill="1" applyBorder="1" applyAlignment="1">
      <alignment horizontal="center" vertical="center"/>
    </xf>
    <xf numFmtId="171" fontId="30" fillId="2" borderId="0" xfId="1" applyNumberFormat="1" applyFont="1" applyFill="1" applyBorder="1" applyAlignment="1" applyProtection="1">
      <alignment horizontal="left" vertical="center"/>
    </xf>
    <xf numFmtId="171" fontId="25" fillId="2" borderId="0" xfId="1" applyNumberFormat="1" applyFont="1" applyFill="1" applyBorder="1" applyAlignment="1" applyProtection="1">
      <alignment horizontal="left" vertical="center"/>
    </xf>
    <xf numFmtId="0" fontId="16" fillId="20" borderId="34" xfId="0" applyFont="1" applyFill="1" applyBorder="1" applyAlignment="1">
      <alignment horizontal="center" vertical="center" wrapText="1"/>
    </xf>
    <xf numFmtId="0" fontId="16" fillId="20" borderId="37" xfId="0" applyFont="1" applyFill="1" applyBorder="1" applyAlignment="1">
      <alignment horizontal="center" vertical="center" textRotation="90" wrapText="1"/>
    </xf>
    <xf numFmtId="0" fontId="16" fillId="20" borderId="2" xfId="0" applyFont="1" applyFill="1" applyBorder="1" applyAlignment="1">
      <alignment horizontal="center" vertical="center" textRotation="90" wrapText="1"/>
    </xf>
    <xf numFmtId="0" fontId="53" fillId="6" borderId="34" xfId="0" applyFont="1" applyFill="1" applyBorder="1" applyAlignment="1">
      <alignment horizontal="center" vertical="center" textRotation="90" wrapText="1"/>
    </xf>
    <xf numFmtId="0" fontId="57" fillId="8" borderId="8" xfId="0" applyFont="1" applyFill="1" applyBorder="1" applyAlignment="1">
      <alignment horizontal="center" vertical="center" wrapText="1"/>
    </xf>
    <xf numFmtId="0" fontId="57" fillId="8" borderId="3" xfId="0" applyFont="1" applyFill="1" applyBorder="1" applyAlignment="1">
      <alignment horizontal="center" vertical="center" wrapText="1"/>
    </xf>
    <xf numFmtId="0" fontId="57" fillId="8" borderId="4" xfId="0" applyFont="1" applyFill="1" applyBorder="1" applyAlignment="1">
      <alignment horizontal="center" vertical="center" wrapText="1"/>
    </xf>
  </cellXfs>
  <cellStyles count="2567">
    <cellStyle name="Euro" xfId="4"/>
    <cellStyle name="HeaderStyle" xfId="2565"/>
    <cellStyle name="Hipervínculo" xfId="2566" builtinId="8"/>
    <cellStyle name="MainTitle" xfId="2564"/>
    <cellStyle name="Millares" xfId="1" builtinId="3"/>
    <cellStyle name="Millares 2" xfId="5"/>
    <cellStyle name="Millares 2 10" xfId="654"/>
    <cellStyle name="Millares 2 10 2" xfId="1914"/>
    <cellStyle name="Millares 2 11" xfId="1284"/>
    <cellStyle name="Millares 2 2" xfId="29"/>
    <cellStyle name="Millares 2 3" xfId="28"/>
    <cellStyle name="Millares 2 4" xfId="49"/>
    <cellStyle name="Millares 2 4 2" xfId="127"/>
    <cellStyle name="Millares 2 4 2 2" xfId="283"/>
    <cellStyle name="Millares 2 4 2 2 2" xfId="914"/>
    <cellStyle name="Millares 2 4 2 2 2 2" xfId="2174"/>
    <cellStyle name="Millares 2 4 2 2 3" xfId="1544"/>
    <cellStyle name="Millares 2 4 2 3" xfId="442"/>
    <cellStyle name="Millares 2 4 2 3 2" xfId="1072"/>
    <cellStyle name="Millares 2 4 2 3 2 2" xfId="2332"/>
    <cellStyle name="Millares 2 4 2 3 3" xfId="1702"/>
    <cellStyle name="Millares 2 4 2 4" xfId="600"/>
    <cellStyle name="Millares 2 4 2 4 2" xfId="1230"/>
    <cellStyle name="Millares 2 4 2 4 2 2" xfId="2490"/>
    <cellStyle name="Millares 2 4 2 4 3" xfId="1860"/>
    <cellStyle name="Millares 2 4 2 5" xfId="758"/>
    <cellStyle name="Millares 2 4 2 5 2" xfId="2018"/>
    <cellStyle name="Millares 2 4 2 6" xfId="1388"/>
    <cellStyle name="Millares 2 4 3" xfId="205"/>
    <cellStyle name="Millares 2 4 3 2" xfId="836"/>
    <cellStyle name="Millares 2 4 3 2 2" xfId="2096"/>
    <cellStyle name="Millares 2 4 3 3" xfId="1466"/>
    <cellStyle name="Millares 2 4 4" xfId="364"/>
    <cellStyle name="Millares 2 4 4 2" xfId="994"/>
    <cellStyle name="Millares 2 4 4 2 2" xfId="2254"/>
    <cellStyle name="Millares 2 4 4 3" xfId="1624"/>
    <cellStyle name="Millares 2 4 5" xfId="522"/>
    <cellStyle name="Millares 2 4 5 2" xfId="1152"/>
    <cellStyle name="Millares 2 4 5 2 2" xfId="2412"/>
    <cellStyle name="Millares 2 4 5 3" xfId="1782"/>
    <cellStyle name="Millares 2 4 6" xfId="680"/>
    <cellStyle name="Millares 2 4 6 2" xfId="1940"/>
    <cellStyle name="Millares 2 4 7" xfId="1310"/>
    <cellStyle name="Millares 2 5" xfId="75"/>
    <cellStyle name="Millares 2 5 2" xfId="153"/>
    <cellStyle name="Millares 2 5 2 2" xfId="309"/>
    <cellStyle name="Millares 2 5 2 2 2" xfId="940"/>
    <cellStyle name="Millares 2 5 2 2 2 2" xfId="2200"/>
    <cellStyle name="Millares 2 5 2 2 3" xfId="1570"/>
    <cellStyle name="Millares 2 5 2 3" xfId="468"/>
    <cellStyle name="Millares 2 5 2 3 2" xfId="1098"/>
    <cellStyle name="Millares 2 5 2 3 2 2" xfId="2358"/>
    <cellStyle name="Millares 2 5 2 3 3" xfId="1728"/>
    <cellStyle name="Millares 2 5 2 4" xfId="626"/>
    <cellStyle name="Millares 2 5 2 4 2" xfId="1256"/>
    <cellStyle name="Millares 2 5 2 4 2 2" xfId="2516"/>
    <cellStyle name="Millares 2 5 2 4 3" xfId="1886"/>
    <cellStyle name="Millares 2 5 2 5" xfId="784"/>
    <cellStyle name="Millares 2 5 2 5 2" xfId="2044"/>
    <cellStyle name="Millares 2 5 2 6" xfId="1414"/>
    <cellStyle name="Millares 2 5 3" xfId="231"/>
    <cellStyle name="Millares 2 5 3 2" xfId="862"/>
    <cellStyle name="Millares 2 5 3 2 2" xfId="2122"/>
    <cellStyle name="Millares 2 5 3 3" xfId="1492"/>
    <cellStyle name="Millares 2 5 4" xfId="390"/>
    <cellStyle name="Millares 2 5 4 2" xfId="1020"/>
    <cellStyle name="Millares 2 5 4 2 2" xfId="2280"/>
    <cellStyle name="Millares 2 5 4 3" xfId="1650"/>
    <cellStyle name="Millares 2 5 5" xfId="548"/>
    <cellStyle name="Millares 2 5 5 2" xfId="1178"/>
    <cellStyle name="Millares 2 5 5 2 2" xfId="2438"/>
    <cellStyle name="Millares 2 5 5 3" xfId="1808"/>
    <cellStyle name="Millares 2 5 6" xfId="706"/>
    <cellStyle name="Millares 2 5 6 2" xfId="1966"/>
    <cellStyle name="Millares 2 5 7" xfId="1336"/>
    <cellStyle name="Millares 2 6" xfId="101"/>
    <cellStyle name="Millares 2 6 2" xfId="257"/>
    <cellStyle name="Millares 2 6 2 2" xfId="888"/>
    <cellStyle name="Millares 2 6 2 2 2" xfId="2148"/>
    <cellStyle name="Millares 2 6 2 3" xfId="1518"/>
    <cellStyle name="Millares 2 6 3" xfId="416"/>
    <cellStyle name="Millares 2 6 3 2" xfId="1046"/>
    <cellStyle name="Millares 2 6 3 2 2" xfId="2306"/>
    <cellStyle name="Millares 2 6 3 3" xfId="1676"/>
    <cellStyle name="Millares 2 6 4" xfId="574"/>
    <cellStyle name="Millares 2 6 4 2" xfId="1204"/>
    <cellStyle name="Millares 2 6 4 2 2" xfId="2464"/>
    <cellStyle name="Millares 2 6 4 3" xfId="1834"/>
    <cellStyle name="Millares 2 6 5" xfId="732"/>
    <cellStyle name="Millares 2 6 5 2" xfId="1992"/>
    <cellStyle name="Millares 2 6 6" xfId="1362"/>
    <cellStyle name="Millares 2 7" xfId="179"/>
    <cellStyle name="Millares 2 7 2" xfId="810"/>
    <cellStyle name="Millares 2 7 2 2" xfId="2070"/>
    <cellStyle name="Millares 2 7 3" xfId="1440"/>
    <cellStyle name="Millares 2 8" xfId="338"/>
    <cellStyle name="Millares 2 8 2" xfId="968"/>
    <cellStyle name="Millares 2 8 2 2" xfId="2228"/>
    <cellStyle name="Millares 2 8 3" xfId="1598"/>
    <cellStyle name="Millares 2 9" xfId="496"/>
    <cellStyle name="Millares 2 9 2" xfId="1126"/>
    <cellStyle name="Millares 2 9 2 2" xfId="2386"/>
    <cellStyle name="Millares 2 9 3" xfId="1756"/>
    <cellStyle name="Millares 3" xfId="17"/>
    <cellStyle name="Millares 3 10" xfId="666"/>
    <cellStyle name="Millares 3 10 2" xfId="1926"/>
    <cellStyle name="Millares 3 11" xfId="1296"/>
    <cellStyle name="Millares 3 2" xfId="31"/>
    <cellStyle name="Millares 3 3" xfId="30"/>
    <cellStyle name="Millares 3 4" xfId="61"/>
    <cellStyle name="Millares 3 4 2" xfId="139"/>
    <cellStyle name="Millares 3 4 2 2" xfId="295"/>
    <cellStyle name="Millares 3 4 2 2 2" xfId="926"/>
    <cellStyle name="Millares 3 4 2 2 2 2" xfId="2186"/>
    <cellStyle name="Millares 3 4 2 2 3" xfId="1556"/>
    <cellStyle name="Millares 3 4 2 3" xfId="454"/>
    <cellStyle name="Millares 3 4 2 3 2" xfId="1084"/>
    <cellStyle name="Millares 3 4 2 3 2 2" xfId="2344"/>
    <cellStyle name="Millares 3 4 2 3 3" xfId="1714"/>
    <cellStyle name="Millares 3 4 2 4" xfId="612"/>
    <cellStyle name="Millares 3 4 2 4 2" xfId="1242"/>
    <cellStyle name="Millares 3 4 2 4 2 2" xfId="2502"/>
    <cellStyle name="Millares 3 4 2 4 3" xfId="1872"/>
    <cellStyle name="Millares 3 4 2 5" xfId="770"/>
    <cellStyle name="Millares 3 4 2 5 2" xfId="2030"/>
    <cellStyle name="Millares 3 4 2 6" xfId="1400"/>
    <cellStyle name="Millares 3 4 3" xfId="217"/>
    <cellStyle name="Millares 3 4 3 2" xfId="848"/>
    <cellStyle name="Millares 3 4 3 2 2" xfId="2108"/>
    <cellStyle name="Millares 3 4 3 3" xfId="1478"/>
    <cellStyle name="Millares 3 4 4" xfId="376"/>
    <cellStyle name="Millares 3 4 4 2" xfId="1006"/>
    <cellStyle name="Millares 3 4 4 2 2" xfId="2266"/>
    <cellStyle name="Millares 3 4 4 3" xfId="1636"/>
    <cellStyle name="Millares 3 4 5" xfId="534"/>
    <cellStyle name="Millares 3 4 5 2" xfId="1164"/>
    <cellStyle name="Millares 3 4 5 2 2" xfId="2424"/>
    <cellStyle name="Millares 3 4 5 3" xfId="1794"/>
    <cellStyle name="Millares 3 4 6" xfId="692"/>
    <cellStyle name="Millares 3 4 6 2" xfId="1952"/>
    <cellStyle name="Millares 3 4 7" xfId="1322"/>
    <cellStyle name="Millares 3 5" xfId="87"/>
    <cellStyle name="Millares 3 5 2" xfId="165"/>
    <cellStyle name="Millares 3 5 2 2" xfId="321"/>
    <cellStyle name="Millares 3 5 2 2 2" xfId="952"/>
    <cellStyle name="Millares 3 5 2 2 2 2" xfId="2212"/>
    <cellStyle name="Millares 3 5 2 2 3" xfId="1582"/>
    <cellStyle name="Millares 3 5 2 3" xfId="480"/>
    <cellStyle name="Millares 3 5 2 3 2" xfId="1110"/>
    <cellStyle name="Millares 3 5 2 3 2 2" xfId="2370"/>
    <cellStyle name="Millares 3 5 2 3 3" xfId="1740"/>
    <cellStyle name="Millares 3 5 2 4" xfId="638"/>
    <cellStyle name="Millares 3 5 2 4 2" xfId="1268"/>
    <cellStyle name="Millares 3 5 2 4 2 2" xfId="2528"/>
    <cellStyle name="Millares 3 5 2 4 3" xfId="1898"/>
    <cellStyle name="Millares 3 5 2 5" xfId="796"/>
    <cellStyle name="Millares 3 5 2 5 2" xfId="2056"/>
    <cellStyle name="Millares 3 5 2 6" xfId="1426"/>
    <cellStyle name="Millares 3 5 3" xfId="243"/>
    <cellStyle name="Millares 3 5 3 2" xfId="874"/>
    <cellStyle name="Millares 3 5 3 2 2" xfId="2134"/>
    <cellStyle name="Millares 3 5 3 3" xfId="1504"/>
    <cellStyle name="Millares 3 5 4" xfId="402"/>
    <cellStyle name="Millares 3 5 4 2" xfId="1032"/>
    <cellStyle name="Millares 3 5 4 2 2" xfId="2292"/>
    <cellStyle name="Millares 3 5 4 3" xfId="1662"/>
    <cellStyle name="Millares 3 5 5" xfId="560"/>
    <cellStyle name="Millares 3 5 5 2" xfId="1190"/>
    <cellStyle name="Millares 3 5 5 2 2" xfId="2450"/>
    <cellStyle name="Millares 3 5 5 3" xfId="1820"/>
    <cellStyle name="Millares 3 5 6" xfId="718"/>
    <cellStyle name="Millares 3 5 6 2" xfId="1978"/>
    <cellStyle name="Millares 3 5 7" xfId="1348"/>
    <cellStyle name="Millares 3 6" xfId="113"/>
    <cellStyle name="Millares 3 6 2" xfId="269"/>
    <cellStyle name="Millares 3 6 2 2" xfId="900"/>
    <cellStyle name="Millares 3 6 2 2 2" xfId="2160"/>
    <cellStyle name="Millares 3 6 2 3" xfId="1530"/>
    <cellStyle name="Millares 3 6 3" xfId="428"/>
    <cellStyle name="Millares 3 6 3 2" xfId="1058"/>
    <cellStyle name="Millares 3 6 3 2 2" xfId="2318"/>
    <cellStyle name="Millares 3 6 3 3" xfId="1688"/>
    <cellStyle name="Millares 3 6 4" xfId="586"/>
    <cellStyle name="Millares 3 6 4 2" xfId="1216"/>
    <cellStyle name="Millares 3 6 4 2 2" xfId="2476"/>
    <cellStyle name="Millares 3 6 4 3" xfId="1846"/>
    <cellStyle name="Millares 3 6 5" xfId="744"/>
    <cellStyle name="Millares 3 6 5 2" xfId="2004"/>
    <cellStyle name="Millares 3 6 6" xfId="1374"/>
    <cellStyle name="Millares 3 7" xfId="191"/>
    <cellStyle name="Millares 3 7 2" xfId="822"/>
    <cellStyle name="Millares 3 7 2 2" xfId="2082"/>
    <cellStyle name="Millares 3 7 3" xfId="1452"/>
    <cellStyle name="Millares 3 8" xfId="350"/>
    <cellStyle name="Millares 3 8 2" xfId="980"/>
    <cellStyle name="Millares 3 8 2 2" xfId="2240"/>
    <cellStyle name="Millares 3 8 3" xfId="1610"/>
    <cellStyle name="Millares 3 9" xfId="508"/>
    <cellStyle name="Millares 3 9 2" xfId="1138"/>
    <cellStyle name="Millares 3 9 2 2" xfId="2398"/>
    <cellStyle name="Millares 3 9 3" xfId="1768"/>
    <cellStyle name="Moneda" xfId="2" builtinId="4"/>
    <cellStyle name="Moneda [0] 2" xfId="6"/>
    <cellStyle name="Moneda [0] 2 10" xfId="655"/>
    <cellStyle name="Moneda [0] 2 10 2" xfId="1915"/>
    <cellStyle name="Moneda [0] 2 11" xfId="1285"/>
    <cellStyle name="Moneda [0] 2 2" xfId="33"/>
    <cellStyle name="Moneda [0] 2 3" xfId="32"/>
    <cellStyle name="Moneda [0] 2 4" xfId="50"/>
    <cellStyle name="Moneda [0] 2 4 2" xfId="128"/>
    <cellStyle name="Moneda [0] 2 4 2 2" xfId="284"/>
    <cellStyle name="Moneda [0] 2 4 2 2 2" xfId="915"/>
    <cellStyle name="Moneda [0] 2 4 2 2 2 2" xfId="2175"/>
    <cellStyle name="Moneda [0] 2 4 2 2 3" xfId="1545"/>
    <cellStyle name="Moneda [0] 2 4 2 3" xfId="443"/>
    <cellStyle name="Moneda [0] 2 4 2 3 2" xfId="1073"/>
    <cellStyle name="Moneda [0] 2 4 2 3 2 2" xfId="2333"/>
    <cellStyle name="Moneda [0] 2 4 2 3 3" xfId="1703"/>
    <cellStyle name="Moneda [0] 2 4 2 4" xfId="601"/>
    <cellStyle name="Moneda [0] 2 4 2 4 2" xfId="1231"/>
    <cellStyle name="Moneda [0] 2 4 2 4 2 2" xfId="2491"/>
    <cellStyle name="Moneda [0] 2 4 2 4 3" xfId="1861"/>
    <cellStyle name="Moneda [0] 2 4 2 5" xfId="759"/>
    <cellStyle name="Moneda [0] 2 4 2 5 2" xfId="2019"/>
    <cellStyle name="Moneda [0] 2 4 2 6" xfId="1389"/>
    <cellStyle name="Moneda [0] 2 4 3" xfId="206"/>
    <cellStyle name="Moneda [0] 2 4 3 2" xfId="837"/>
    <cellStyle name="Moneda [0] 2 4 3 2 2" xfId="2097"/>
    <cellStyle name="Moneda [0] 2 4 3 3" xfId="1467"/>
    <cellStyle name="Moneda [0] 2 4 4" xfId="365"/>
    <cellStyle name="Moneda [0] 2 4 4 2" xfId="995"/>
    <cellStyle name="Moneda [0] 2 4 4 2 2" xfId="2255"/>
    <cellStyle name="Moneda [0] 2 4 4 3" xfId="1625"/>
    <cellStyle name="Moneda [0] 2 4 5" xfId="523"/>
    <cellStyle name="Moneda [0] 2 4 5 2" xfId="1153"/>
    <cellStyle name="Moneda [0] 2 4 5 2 2" xfId="2413"/>
    <cellStyle name="Moneda [0] 2 4 5 3" xfId="1783"/>
    <cellStyle name="Moneda [0] 2 4 6" xfId="681"/>
    <cellStyle name="Moneda [0] 2 4 6 2" xfId="1941"/>
    <cellStyle name="Moneda [0] 2 4 7" xfId="1311"/>
    <cellStyle name="Moneda [0] 2 5" xfId="76"/>
    <cellStyle name="Moneda [0] 2 5 2" xfId="154"/>
    <cellStyle name="Moneda [0] 2 5 2 2" xfId="310"/>
    <cellStyle name="Moneda [0] 2 5 2 2 2" xfId="941"/>
    <cellStyle name="Moneda [0] 2 5 2 2 2 2" xfId="2201"/>
    <cellStyle name="Moneda [0] 2 5 2 2 3" xfId="1571"/>
    <cellStyle name="Moneda [0] 2 5 2 3" xfId="469"/>
    <cellStyle name="Moneda [0] 2 5 2 3 2" xfId="1099"/>
    <cellStyle name="Moneda [0] 2 5 2 3 2 2" xfId="2359"/>
    <cellStyle name="Moneda [0] 2 5 2 3 3" xfId="1729"/>
    <cellStyle name="Moneda [0] 2 5 2 4" xfId="627"/>
    <cellStyle name="Moneda [0] 2 5 2 4 2" xfId="1257"/>
    <cellStyle name="Moneda [0] 2 5 2 4 2 2" xfId="2517"/>
    <cellStyle name="Moneda [0] 2 5 2 4 3" xfId="1887"/>
    <cellStyle name="Moneda [0] 2 5 2 5" xfId="785"/>
    <cellStyle name="Moneda [0] 2 5 2 5 2" xfId="2045"/>
    <cellStyle name="Moneda [0] 2 5 2 6" xfId="1415"/>
    <cellStyle name="Moneda [0] 2 5 3" xfId="232"/>
    <cellStyle name="Moneda [0] 2 5 3 2" xfId="863"/>
    <cellStyle name="Moneda [0] 2 5 3 2 2" xfId="2123"/>
    <cellStyle name="Moneda [0] 2 5 3 3" xfId="1493"/>
    <cellStyle name="Moneda [0] 2 5 4" xfId="391"/>
    <cellStyle name="Moneda [0] 2 5 4 2" xfId="1021"/>
    <cellStyle name="Moneda [0] 2 5 4 2 2" xfId="2281"/>
    <cellStyle name="Moneda [0] 2 5 4 3" xfId="1651"/>
    <cellStyle name="Moneda [0] 2 5 5" xfId="549"/>
    <cellStyle name="Moneda [0] 2 5 5 2" xfId="1179"/>
    <cellStyle name="Moneda [0] 2 5 5 2 2" xfId="2439"/>
    <cellStyle name="Moneda [0] 2 5 5 3" xfId="1809"/>
    <cellStyle name="Moneda [0] 2 5 6" xfId="707"/>
    <cellStyle name="Moneda [0] 2 5 6 2" xfId="1967"/>
    <cellStyle name="Moneda [0] 2 5 7" xfId="1337"/>
    <cellStyle name="Moneda [0] 2 6" xfId="102"/>
    <cellStyle name="Moneda [0] 2 6 2" xfId="258"/>
    <cellStyle name="Moneda [0] 2 6 2 2" xfId="889"/>
    <cellStyle name="Moneda [0] 2 6 2 2 2" xfId="2149"/>
    <cellStyle name="Moneda [0] 2 6 2 3" xfId="1519"/>
    <cellStyle name="Moneda [0] 2 6 3" xfId="417"/>
    <cellStyle name="Moneda [0] 2 6 3 2" xfId="1047"/>
    <cellStyle name="Moneda [0] 2 6 3 2 2" xfId="2307"/>
    <cellStyle name="Moneda [0] 2 6 3 3" xfId="1677"/>
    <cellStyle name="Moneda [0] 2 6 4" xfId="575"/>
    <cellStyle name="Moneda [0] 2 6 4 2" xfId="1205"/>
    <cellStyle name="Moneda [0] 2 6 4 2 2" xfId="2465"/>
    <cellStyle name="Moneda [0] 2 6 4 3" xfId="1835"/>
    <cellStyle name="Moneda [0] 2 6 5" xfId="733"/>
    <cellStyle name="Moneda [0] 2 6 5 2" xfId="1993"/>
    <cellStyle name="Moneda [0] 2 6 6" xfId="1363"/>
    <cellStyle name="Moneda [0] 2 7" xfId="180"/>
    <cellStyle name="Moneda [0] 2 7 2" xfId="811"/>
    <cellStyle name="Moneda [0] 2 7 2 2" xfId="2071"/>
    <cellStyle name="Moneda [0] 2 7 3" xfId="1441"/>
    <cellStyle name="Moneda [0] 2 8" xfId="339"/>
    <cellStyle name="Moneda [0] 2 8 2" xfId="969"/>
    <cellStyle name="Moneda [0] 2 8 2 2" xfId="2229"/>
    <cellStyle name="Moneda [0] 2 8 3" xfId="1599"/>
    <cellStyle name="Moneda [0] 2 9" xfId="497"/>
    <cellStyle name="Moneda [0] 2 9 2" xfId="1127"/>
    <cellStyle name="Moneda [0] 2 9 2 2" xfId="2387"/>
    <cellStyle name="Moneda [0] 2 9 3" xfId="1757"/>
    <cellStyle name="Moneda 10" xfId="24"/>
    <cellStyle name="Moneda 10 2" xfId="67"/>
    <cellStyle name="Moneda 10 2 2" xfId="145"/>
    <cellStyle name="Moneda 10 2 2 2" xfId="301"/>
    <cellStyle name="Moneda 10 2 2 2 2" xfId="932"/>
    <cellStyle name="Moneda 10 2 2 2 2 2" xfId="2192"/>
    <cellStyle name="Moneda 10 2 2 2 3" xfId="1562"/>
    <cellStyle name="Moneda 10 2 2 3" xfId="460"/>
    <cellStyle name="Moneda 10 2 2 3 2" xfId="1090"/>
    <cellStyle name="Moneda 10 2 2 3 2 2" xfId="2350"/>
    <cellStyle name="Moneda 10 2 2 3 3" xfId="1720"/>
    <cellStyle name="Moneda 10 2 2 4" xfId="618"/>
    <cellStyle name="Moneda 10 2 2 4 2" xfId="1248"/>
    <cellStyle name="Moneda 10 2 2 4 2 2" xfId="2508"/>
    <cellStyle name="Moneda 10 2 2 4 3" xfId="1878"/>
    <cellStyle name="Moneda 10 2 2 5" xfId="776"/>
    <cellStyle name="Moneda 10 2 2 5 2" xfId="2036"/>
    <cellStyle name="Moneda 10 2 2 6" xfId="1406"/>
    <cellStyle name="Moneda 10 2 3" xfId="223"/>
    <cellStyle name="Moneda 10 2 3 2" xfId="854"/>
    <cellStyle name="Moneda 10 2 3 2 2" xfId="2114"/>
    <cellStyle name="Moneda 10 2 3 3" xfId="1484"/>
    <cellStyle name="Moneda 10 2 4" xfId="382"/>
    <cellStyle name="Moneda 10 2 4 2" xfId="1012"/>
    <cellStyle name="Moneda 10 2 4 2 2" xfId="2272"/>
    <cellStyle name="Moneda 10 2 4 3" xfId="1642"/>
    <cellStyle name="Moneda 10 2 5" xfId="540"/>
    <cellStyle name="Moneda 10 2 5 2" xfId="1170"/>
    <cellStyle name="Moneda 10 2 5 2 2" xfId="2430"/>
    <cellStyle name="Moneda 10 2 5 3" xfId="1800"/>
    <cellStyle name="Moneda 10 2 6" xfId="698"/>
    <cellStyle name="Moneda 10 2 6 2" xfId="1958"/>
    <cellStyle name="Moneda 10 2 7" xfId="1328"/>
    <cellStyle name="Moneda 10 3" xfId="93"/>
    <cellStyle name="Moneda 10 3 2" xfId="171"/>
    <cellStyle name="Moneda 10 3 2 2" xfId="327"/>
    <cellStyle name="Moneda 10 3 2 2 2" xfId="958"/>
    <cellStyle name="Moneda 10 3 2 2 2 2" xfId="2218"/>
    <cellStyle name="Moneda 10 3 2 2 3" xfId="1588"/>
    <cellStyle name="Moneda 10 3 2 3" xfId="486"/>
    <cellStyle name="Moneda 10 3 2 3 2" xfId="1116"/>
    <cellStyle name="Moneda 10 3 2 3 2 2" xfId="2376"/>
    <cellStyle name="Moneda 10 3 2 3 3" xfId="1746"/>
    <cellStyle name="Moneda 10 3 2 4" xfId="644"/>
    <cellStyle name="Moneda 10 3 2 4 2" xfId="1274"/>
    <cellStyle name="Moneda 10 3 2 4 2 2" xfId="2534"/>
    <cellStyle name="Moneda 10 3 2 4 3" xfId="1904"/>
    <cellStyle name="Moneda 10 3 2 5" xfId="802"/>
    <cellStyle name="Moneda 10 3 2 5 2" xfId="2062"/>
    <cellStyle name="Moneda 10 3 2 6" xfId="1432"/>
    <cellStyle name="Moneda 10 3 3" xfId="249"/>
    <cellStyle name="Moneda 10 3 3 2" xfId="880"/>
    <cellStyle name="Moneda 10 3 3 2 2" xfId="2140"/>
    <cellStyle name="Moneda 10 3 3 3" xfId="1510"/>
    <cellStyle name="Moneda 10 3 4" xfId="408"/>
    <cellStyle name="Moneda 10 3 4 2" xfId="1038"/>
    <cellStyle name="Moneda 10 3 4 2 2" xfId="2298"/>
    <cellStyle name="Moneda 10 3 4 3" xfId="1668"/>
    <cellStyle name="Moneda 10 3 5" xfId="566"/>
    <cellStyle name="Moneda 10 3 5 2" xfId="1196"/>
    <cellStyle name="Moneda 10 3 5 2 2" xfId="2456"/>
    <cellStyle name="Moneda 10 3 5 3" xfId="1826"/>
    <cellStyle name="Moneda 10 3 6" xfId="724"/>
    <cellStyle name="Moneda 10 3 6 2" xfId="1984"/>
    <cellStyle name="Moneda 10 3 7" xfId="1354"/>
    <cellStyle name="Moneda 10 4" xfId="119"/>
    <cellStyle name="Moneda 10 4 2" xfId="275"/>
    <cellStyle name="Moneda 10 4 2 2" xfId="906"/>
    <cellStyle name="Moneda 10 4 2 2 2" xfId="2166"/>
    <cellStyle name="Moneda 10 4 2 3" xfId="1536"/>
    <cellStyle name="Moneda 10 4 3" xfId="434"/>
    <cellStyle name="Moneda 10 4 3 2" xfId="1064"/>
    <cellStyle name="Moneda 10 4 3 2 2" xfId="2324"/>
    <cellStyle name="Moneda 10 4 3 3" xfId="1694"/>
    <cellStyle name="Moneda 10 4 4" xfId="592"/>
    <cellStyle name="Moneda 10 4 4 2" xfId="1222"/>
    <cellStyle name="Moneda 10 4 4 2 2" xfId="2482"/>
    <cellStyle name="Moneda 10 4 4 3" xfId="1852"/>
    <cellStyle name="Moneda 10 4 5" xfId="750"/>
    <cellStyle name="Moneda 10 4 5 2" xfId="2010"/>
    <cellStyle name="Moneda 10 4 6" xfId="1380"/>
    <cellStyle name="Moneda 10 5" xfId="197"/>
    <cellStyle name="Moneda 10 5 2" xfId="828"/>
    <cellStyle name="Moneda 10 5 2 2" xfId="2088"/>
    <cellStyle name="Moneda 10 5 3" xfId="1458"/>
    <cellStyle name="Moneda 10 6" xfId="356"/>
    <cellStyle name="Moneda 10 6 2" xfId="986"/>
    <cellStyle name="Moneda 10 6 2 2" xfId="2246"/>
    <cellStyle name="Moneda 10 6 3" xfId="1616"/>
    <cellStyle name="Moneda 10 7" xfId="514"/>
    <cellStyle name="Moneda 10 7 2" xfId="1144"/>
    <cellStyle name="Moneda 10 7 2 2" xfId="2404"/>
    <cellStyle name="Moneda 10 7 3" xfId="1774"/>
    <cellStyle name="Moneda 10 8" xfId="672"/>
    <cellStyle name="Moneda 10 8 2" xfId="1932"/>
    <cellStyle name="Moneda 10 9" xfId="1302"/>
    <cellStyle name="Moneda 11" xfId="14"/>
    <cellStyle name="Moneda 11 2" xfId="58"/>
    <cellStyle name="Moneda 11 2 2" xfId="136"/>
    <cellStyle name="Moneda 11 2 2 2" xfId="292"/>
    <cellStyle name="Moneda 11 2 2 2 2" xfId="923"/>
    <cellStyle name="Moneda 11 2 2 2 2 2" xfId="2183"/>
    <cellStyle name="Moneda 11 2 2 2 3" xfId="1553"/>
    <cellStyle name="Moneda 11 2 2 3" xfId="451"/>
    <cellStyle name="Moneda 11 2 2 3 2" xfId="1081"/>
    <cellStyle name="Moneda 11 2 2 3 2 2" xfId="2341"/>
    <cellStyle name="Moneda 11 2 2 3 3" xfId="1711"/>
    <cellStyle name="Moneda 11 2 2 4" xfId="609"/>
    <cellStyle name="Moneda 11 2 2 4 2" xfId="1239"/>
    <cellStyle name="Moneda 11 2 2 4 2 2" xfId="2499"/>
    <cellStyle name="Moneda 11 2 2 4 3" xfId="1869"/>
    <cellStyle name="Moneda 11 2 2 5" xfId="767"/>
    <cellStyle name="Moneda 11 2 2 5 2" xfId="2027"/>
    <cellStyle name="Moneda 11 2 2 6" xfId="1397"/>
    <cellStyle name="Moneda 11 2 3" xfId="214"/>
    <cellStyle name="Moneda 11 2 3 2" xfId="845"/>
    <cellStyle name="Moneda 11 2 3 2 2" xfId="2105"/>
    <cellStyle name="Moneda 11 2 3 3" xfId="1475"/>
    <cellStyle name="Moneda 11 2 4" xfId="373"/>
    <cellStyle name="Moneda 11 2 4 2" xfId="1003"/>
    <cellStyle name="Moneda 11 2 4 2 2" xfId="2263"/>
    <cellStyle name="Moneda 11 2 4 3" xfId="1633"/>
    <cellStyle name="Moneda 11 2 5" xfId="531"/>
    <cellStyle name="Moneda 11 2 5 2" xfId="1161"/>
    <cellStyle name="Moneda 11 2 5 2 2" xfId="2421"/>
    <cellStyle name="Moneda 11 2 5 3" xfId="1791"/>
    <cellStyle name="Moneda 11 2 6" xfId="689"/>
    <cellStyle name="Moneda 11 2 6 2" xfId="1949"/>
    <cellStyle name="Moneda 11 2 7" xfId="1319"/>
    <cellStyle name="Moneda 11 3" xfId="84"/>
    <cellStyle name="Moneda 11 3 2" xfId="162"/>
    <cellStyle name="Moneda 11 3 2 2" xfId="318"/>
    <cellStyle name="Moneda 11 3 2 2 2" xfId="949"/>
    <cellStyle name="Moneda 11 3 2 2 2 2" xfId="2209"/>
    <cellStyle name="Moneda 11 3 2 2 3" xfId="1579"/>
    <cellStyle name="Moneda 11 3 2 3" xfId="477"/>
    <cellStyle name="Moneda 11 3 2 3 2" xfId="1107"/>
    <cellStyle name="Moneda 11 3 2 3 2 2" xfId="2367"/>
    <cellStyle name="Moneda 11 3 2 3 3" xfId="1737"/>
    <cellStyle name="Moneda 11 3 2 4" xfId="635"/>
    <cellStyle name="Moneda 11 3 2 4 2" xfId="1265"/>
    <cellStyle name="Moneda 11 3 2 4 2 2" xfId="2525"/>
    <cellStyle name="Moneda 11 3 2 4 3" xfId="1895"/>
    <cellStyle name="Moneda 11 3 2 5" xfId="793"/>
    <cellStyle name="Moneda 11 3 2 5 2" xfId="2053"/>
    <cellStyle name="Moneda 11 3 2 6" xfId="1423"/>
    <cellStyle name="Moneda 11 3 3" xfId="240"/>
    <cellStyle name="Moneda 11 3 3 2" xfId="871"/>
    <cellStyle name="Moneda 11 3 3 2 2" xfId="2131"/>
    <cellStyle name="Moneda 11 3 3 3" xfId="1501"/>
    <cellStyle name="Moneda 11 3 4" xfId="399"/>
    <cellStyle name="Moneda 11 3 4 2" xfId="1029"/>
    <cellStyle name="Moneda 11 3 4 2 2" xfId="2289"/>
    <cellStyle name="Moneda 11 3 4 3" xfId="1659"/>
    <cellStyle name="Moneda 11 3 5" xfId="557"/>
    <cellStyle name="Moneda 11 3 5 2" xfId="1187"/>
    <cellStyle name="Moneda 11 3 5 2 2" xfId="2447"/>
    <cellStyle name="Moneda 11 3 5 3" xfId="1817"/>
    <cellStyle name="Moneda 11 3 6" xfId="715"/>
    <cellStyle name="Moneda 11 3 6 2" xfId="1975"/>
    <cellStyle name="Moneda 11 3 7" xfId="1345"/>
    <cellStyle name="Moneda 11 4" xfId="110"/>
    <cellStyle name="Moneda 11 4 2" xfId="266"/>
    <cellStyle name="Moneda 11 4 2 2" xfId="897"/>
    <cellStyle name="Moneda 11 4 2 2 2" xfId="2157"/>
    <cellStyle name="Moneda 11 4 2 3" xfId="1527"/>
    <cellStyle name="Moneda 11 4 3" xfId="425"/>
    <cellStyle name="Moneda 11 4 3 2" xfId="1055"/>
    <cellStyle name="Moneda 11 4 3 2 2" xfId="2315"/>
    <cellStyle name="Moneda 11 4 3 3" xfId="1685"/>
    <cellStyle name="Moneda 11 4 4" xfId="583"/>
    <cellStyle name="Moneda 11 4 4 2" xfId="1213"/>
    <cellStyle name="Moneda 11 4 4 2 2" xfId="2473"/>
    <cellStyle name="Moneda 11 4 4 3" xfId="1843"/>
    <cellStyle name="Moneda 11 4 5" xfId="741"/>
    <cellStyle name="Moneda 11 4 5 2" xfId="2001"/>
    <cellStyle name="Moneda 11 4 6" xfId="1371"/>
    <cellStyle name="Moneda 11 5" xfId="188"/>
    <cellStyle name="Moneda 11 5 2" xfId="819"/>
    <cellStyle name="Moneda 11 5 2 2" xfId="2079"/>
    <cellStyle name="Moneda 11 5 3" xfId="1449"/>
    <cellStyle name="Moneda 11 6" xfId="347"/>
    <cellStyle name="Moneda 11 6 2" xfId="977"/>
    <cellStyle name="Moneda 11 6 2 2" xfId="2237"/>
    <cellStyle name="Moneda 11 6 3" xfId="1607"/>
    <cellStyle name="Moneda 11 7" xfId="505"/>
    <cellStyle name="Moneda 11 7 2" xfId="1135"/>
    <cellStyle name="Moneda 11 7 2 2" xfId="2395"/>
    <cellStyle name="Moneda 11 7 3" xfId="1765"/>
    <cellStyle name="Moneda 11 8" xfId="663"/>
    <cellStyle name="Moneda 11 8 2" xfId="1923"/>
    <cellStyle name="Moneda 11 9" xfId="1293"/>
    <cellStyle name="Moneda 12" xfId="23"/>
    <cellStyle name="Moneda 12 2" xfId="66"/>
    <cellStyle name="Moneda 12 2 2" xfId="144"/>
    <cellStyle name="Moneda 12 2 2 2" xfId="300"/>
    <cellStyle name="Moneda 12 2 2 2 2" xfId="931"/>
    <cellStyle name="Moneda 12 2 2 2 2 2" xfId="2191"/>
    <cellStyle name="Moneda 12 2 2 2 3" xfId="1561"/>
    <cellStyle name="Moneda 12 2 2 3" xfId="459"/>
    <cellStyle name="Moneda 12 2 2 3 2" xfId="1089"/>
    <cellStyle name="Moneda 12 2 2 3 2 2" xfId="2349"/>
    <cellStyle name="Moneda 12 2 2 3 3" xfId="1719"/>
    <cellStyle name="Moneda 12 2 2 4" xfId="617"/>
    <cellStyle name="Moneda 12 2 2 4 2" xfId="1247"/>
    <cellStyle name="Moneda 12 2 2 4 2 2" xfId="2507"/>
    <cellStyle name="Moneda 12 2 2 4 3" xfId="1877"/>
    <cellStyle name="Moneda 12 2 2 5" xfId="775"/>
    <cellStyle name="Moneda 12 2 2 5 2" xfId="2035"/>
    <cellStyle name="Moneda 12 2 2 6" xfId="1405"/>
    <cellStyle name="Moneda 12 2 3" xfId="222"/>
    <cellStyle name="Moneda 12 2 3 2" xfId="853"/>
    <cellStyle name="Moneda 12 2 3 2 2" xfId="2113"/>
    <cellStyle name="Moneda 12 2 3 3" xfId="1483"/>
    <cellStyle name="Moneda 12 2 4" xfId="381"/>
    <cellStyle name="Moneda 12 2 4 2" xfId="1011"/>
    <cellStyle name="Moneda 12 2 4 2 2" xfId="2271"/>
    <cellStyle name="Moneda 12 2 4 3" xfId="1641"/>
    <cellStyle name="Moneda 12 2 5" xfId="539"/>
    <cellStyle name="Moneda 12 2 5 2" xfId="1169"/>
    <cellStyle name="Moneda 12 2 5 2 2" xfId="2429"/>
    <cellStyle name="Moneda 12 2 5 3" xfId="1799"/>
    <cellStyle name="Moneda 12 2 6" xfId="697"/>
    <cellStyle name="Moneda 12 2 6 2" xfId="1957"/>
    <cellStyle name="Moneda 12 2 7" xfId="1327"/>
    <cellStyle name="Moneda 12 3" xfId="92"/>
    <cellStyle name="Moneda 12 3 2" xfId="170"/>
    <cellStyle name="Moneda 12 3 2 2" xfId="326"/>
    <cellStyle name="Moneda 12 3 2 2 2" xfId="957"/>
    <cellStyle name="Moneda 12 3 2 2 2 2" xfId="2217"/>
    <cellStyle name="Moneda 12 3 2 2 3" xfId="1587"/>
    <cellStyle name="Moneda 12 3 2 3" xfId="485"/>
    <cellStyle name="Moneda 12 3 2 3 2" xfId="1115"/>
    <cellStyle name="Moneda 12 3 2 3 2 2" xfId="2375"/>
    <cellStyle name="Moneda 12 3 2 3 3" xfId="1745"/>
    <cellStyle name="Moneda 12 3 2 4" xfId="643"/>
    <cellStyle name="Moneda 12 3 2 4 2" xfId="1273"/>
    <cellStyle name="Moneda 12 3 2 4 2 2" xfId="2533"/>
    <cellStyle name="Moneda 12 3 2 4 3" xfId="1903"/>
    <cellStyle name="Moneda 12 3 2 5" xfId="801"/>
    <cellStyle name="Moneda 12 3 2 5 2" xfId="2061"/>
    <cellStyle name="Moneda 12 3 2 6" xfId="1431"/>
    <cellStyle name="Moneda 12 3 3" xfId="248"/>
    <cellStyle name="Moneda 12 3 3 2" xfId="879"/>
    <cellStyle name="Moneda 12 3 3 2 2" xfId="2139"/>
    <cellStyle name="Moneda 12 3 3 3" xfId="1509"/>
    <cellStyle name="Moneda 12 3 4" xfId="407"/>
    <cellStyle name="Moneda 12 3 4 2" xfId="1037"/>
    <cellStyle name="Moneda 12 3 4 2 2" xfId="2297"/>
    <cellStyle name="Moneda 12 3 4 3" xfId="1667"/>
    <cellStyle name="Moneda 12 3 5" xfId="565"/>
    <cellStyle name="Moneda 12 3 5 2" xfId="1195"/>
    <cellStyle name="Moneda 12 3 5 2 2" xfId="2455"/>
    <cellStyle name="Moneda 12 3 5 3" xfId="1825"/>
    <cellStyle name="Moneda 12 3 6" xfId="723"/>
    <cellStyle name="Moneda 12 3 6 2" xfId="1983"/>
    <cellStyle name="Moneda 12 3 7" xfId="1353"/>
    <cellStyle name="Moneda 12 4" xfId="118"/>
    <cellStyle name="Moneda 12 4 2" xfId="274"/>
    <cellStyle name="Moneda 12 4 2 2" xfId="905"/>
    <cellStyle name="Moneda 12 4 2 2 2" xfId="2165"/>
    <cellStyle name="Moneda 12 4 2 3" xfId="1535"/>
    <cellStyle name="Moneda 12 4 3" xfId="433"/>
    <cellStyle name="Moneda 12 4 3 2" xfId="1063"/>
    <cellStyle name="Moneda 12 4 3 2 2" xfId="2323"/>
    <cellStyle name="Moneda 12 4 3 3" xfId="1693"/>
    <cellStyle name="Moneda 12 4 4" xfId="591"/>
    <cellStyle name="Moneda 12 4 4 2" xfId="1221"/>
    <cellStyle name="Moneda 12 4 4 2 2" xfId="2481"/>
    <cellStyle name="Moneda 12 4 4 3" xfId="1851"/>
    <cellStyle name="Moneda 12 4 5" xfId="749"/>
    <cellStyle name="Moneda 12 4 5 2" xfId="2009"/>
    <cellStyle name="Moneda 12 4 6" xfId="1379"/>
    <cellStyle name="Moneda 12 5" xfId="196"/>
    <cellStyle name="Moneda 12 5 2" xfId="827"/>
    <cellStyle name="Moneda 12 5 2 2" xfId="2087"/>
    <cellStyle name="Moneda 12 5 3" xfId="1457"/>
    <cellStyle name="Moneda 12 6" xfId="355"/>
    <cellStyle name="Moneda 12 6 2" xfId="985"/>
    <cellStyle name="Moneda 12 6 2 2" xfId="2245"/>
    <cellStyle name="Moneda 12 6 3" xfId="1615"/>
    <cellStyle name="Moneda 12 7" xfId="513"/>
    <cellStyle name="Moneda 12 7 2" xfId="1143"/>
    <cellStyle name="Moneda 12 7 2 2" xfId="2403"/>
    <cellStyle name="Moneda 12 7 3" xfId="1773"/>
    <cellStyle name="Moneda 12 8" xfId="671"/>
    <cellStyle name="Moneda 12 8 2" xfId="1931"/>
    <cellStyle name="Moneda 12 9" xfId="1301"/>
    <cellStyle name="Moneda 13" xfId="26"/>
    <cellStyle name="Moneda 13 2" xfId="69"/>
    <cellStyle name="Moneda 13 2 2" xfId="147"/>
    <cellStyle name="Moneda 13 2 2 2" xfId="303"/>
    <cellStyle name="Moneda 13 2 2 2 2" xfId="934"/>
    <cellStyle name="Moneda 13 2 2 2 2 2" xfId="2194"/>
    <cellStyle name="Moneda 13 2 2 2 3" xfId="1564"/>
    <cellStyle name="Moneda 13 2 2 3" xfId="462"/>
    <cellStyle name="Moneda 13 2 2 3 2" xfId="1092"/>
    <cellStyle name="Moneda 13 2 2 3 2 2" xfId="2352"/>
    <cellStyle name="Moneda 13 2 2 3 3" xfId="1722"/>
    <cellStyle name="Moneda 13 2 2 4" xfId="620"/>
    <cellStyle name="Moneda 13 2 2 4 2" xfId="1250"/>
    <cellStyle name="Moneda 13 2 2 4 2 2" xfId="2510"/>
    <cellStyle name="Moneda 13 2 2 4 3" xfId="1880"/>
    <cellStyle name="Moneda 13 2 2 5" xfId="778"/>
    <cellStyle name="Moneda 13 2 2 5 2" xfId="2038"/>
    <cellStyle name="Moneda 13 2 2 6" xfId="1408"/>
    <cellStyle name="Moneda 13 2 3" xfId="225"/>
    <cellStyle name="Moneda 13 2 3 2" xfId="856"/>
    <cellStyle name="Moneda 13 2 3 2 2" xfId="2116"/>
    <cellStyle name="Moneda 13 2 3 3" xfId="1486"/>
    <cellStyle name="Moneda 13 2 4" xfId="384"/>
    <cellStyle name="Moneda 13 2 4 2" xfId="1014"/>
    <cellStyle name="Moneda 13 2 4 2 2" xfId="2274"/>
    <cellStyle name="Moneda 13 2 4 3" xfId="1644"/>
    <cellStyle name="Moneda 13 2 5" xfId="542"/>
    <cellStyle name="Moneda 13 2 5 2" xfId="1172"/>
    <cellStyle name="Moneda 13 2 5 2 2" xfId="2432"/>
    <cellStyle name="Moneda 13 2 5 3" xfId="1802"/>
    <cellStyle name="Moneda 13 2 6" xfId="700"/>
    <cellStyle name="Moneda 13 2 6 2" xfId="1960"/>
    <cellStyle name="Moneda 13 2 7" xfId="1330"/>
    <cellStyle name="Moneda 13 3" xfId="95"/>
    <cellStyle name="Moneda 13 3 2" xfId="173"/>
    <cellStyle name="Moneda 13 3 2 2" xfId="329"/>
    <cellStyle name="Moneda 13 3 2 2 2" xfId="960"/>
    <cellStyle name="Moneda 13 3 2 2 2 2" xfId="2220"/>
    <cellStyle name="Moneda 13 3 2 2 3" xfId="1590"/>
    <cellStyle name="Moneda 13 3 2 3" xfId="488"/>
    <cellStyle name="Moneda 13 3 2 3 2" xfId="1118"/>
    <cellStyle name="Moneda 13 3 2 3 2 2" xfId="2378"/>
    <cellStyle name="Moneda 13 3 2 3 3" xfId="1748"/>
    <cellStyle name="Moneda 13 3 2 4" xfId="646"/>
    <cellStyle name="Moneda 13 3 2 4 2" xfId="1276"/>
    <cellStyle name="Moneda 13 3 2 4 2 2" xfId="2536"/>
    <cellStyle name="Moneda 13 3 2 4 3" xfId="1906"/>
    <cellStyle name="Moneda 13 3 2 5" xfId="804"/>
    <cellStyle name="Moneda 13 3 2 5 2" xfId="2064"/>
    <cellStyle name="Moneda 13 3 2 6" xfId="1434"/>
    <cellStyle name="Moneda 13 3 3" xfId="251"/>
    <cellStyle name="Moneda 13 3 3 2" xfId="882"/>
    <cellStyle name="Moneda 13 3 3 2 2" xfId="2142"/>
    <cellStyle name="Moneda 13 3 3 3" xfId="1512"/>
    <cellStyle name="Moneda 13 3 4" xfId="410"/>
    <cellStyle name="Moneda 13 3 4 2" xfId="1040"/>
    <cellStyle name="Moneda 13 3 4 2 2" xfId="2300"/>
    <cellStyle name="Moneda 13 3 4 3" xfId="1670"/>
    <cellStyle name="Moneda 13 3 5" xfId="568"/>
    <cellStyle name="Moneda 13 3 5 2" xfId="1198"/>
    <cellStyle name="Moneda 13 3 5 2 2" xfId="2458"/>
    <cellStyle name="Moneda 13 3 5 3" xfId="1828"/>
    <cellStyle name="Moneda 13 3 6" xfId="726"/>
    <cellStyle name="Moneda 13 3 6 2" xfId="1986"/>
    <cellStyle name="Moneda 13 3 7" xfId="1356"/>
    <cellStyle name="Moneda 13 4" xfId="121"/>
    <cellStyle name="Moneda 13 4 2" xfId="277"/>
    <cellStyle name="Moneda 13 4 2 2" xfId="908"/>
    <cellStyle name="Moneda 13 4 2 2 2" xfId="2168"/>
    <cellStyle name="Moneda 13 4 2 3" xfId="1538"/>
    <cellStyle name="Moneda 13 4 3" xfId="436"/>
    <cellStyle name="Moneda 13 4 3 2" xfId="1066"/>
    <cellStyle name="Moneda 13 4 3 2 2" xfId="2326"/>
    <cellStyle name="Moneda 13 4 3 3" xfId="1696"/>
    <cellStyle name="Moneda 13 4 4" xfId="594"/>
    <cellStyle name="Moneda 13 4 4 2" xfId="1224"/>
    <cellStyle name="Moneda 13 4 4 2 2" xfId="2484"/>
    <cellStyle name="Moneda 13 4 4 3" xfId="1854"/>
    <cellStyle name="Moneda 13 4 5" xfId="752"/>
    <cellStyle name="Moneda 13 4 5 2" xfId="2012"/>
    <cellStyle name="Moneda 13 4 6" xfId="1382"/>
    <cellStyle name="Moneda 13 5" xfId="199"/>
    <cellStyle name="Moneda 13 5 2" xfId="830"/>
    <cellStyle name="Moneda 13 5 2 2" xfId="2090"/>
    <cellStyle name="Moneda 13 5 3" xfId="1460"/>
    <cellStyle name="Moneda 13 6" xfId="358"/>
    <cellStyle name="Moneda 13 6 2" xfId="988"/>
    <cellStyle name="Moneda 13 6 2 2" xfId="2248"/>
    <cellStyle name="Moneda 13 6 3" xfId="1618"/>
    <cellStyle name="Moneda 13 7" xfId="516"/>
    <cellStyle name="Moneda 13 7 2" xfId="1146"/>
    <cellStyle name="Moneda 13 7 2 2" xfId="2406"/>
    <cellStyle name="Moneda 13 7 3" xfId="1776"/>
    <cellStyle name="Moneda 13 8" xfId="674"/>
    <cellStyle name="Moneda 13 8 2" xfId="1934"/>
    <cellStyle name="Moneda 13 9" xfId="1304"/>
    <cellStyle name="Moneda 14" xfId="25"/>
    <cellStyle name="Moneda 14 2" xfId="68"/>
    <cellStyle name="Moneda 14 2 2" xfId="146"/>
    <cellStyle name="Moneda 14 2 2 2" xfId="302"/>
    <cellStyle name="Moneda 14 2 2 2 2" xfId="933"/>
    <cellStyle name="Moneda 14 2 2 2 2 2" xfId="2193"/>
    <cellStyle name="Moneda 14 2 2 2 3" xfId="1563"/>
    <cellStyle name="Moneda 14 2 2 3" xfId="461"/>
    <cellStyle name="Moneda 14 2 2 3 2" xfId="1091"/>
    <cellStyle name="Moneda 14 2 2 3 2 2" xfId="2351"/>
    <cellStyle name="Moneda 14 2 2 3 3" xfId="1721"/>
    <cellStyle name="Moneda 14 2 2 4" xfId="619"/>
    <cellStyle name="Moneda 14 2 2 4 2" xfId="1249"/>
    <cellStyle name="Moneda 14 2 2 4 2 2" xfId="2509"/>
    <cellStyle name="Moneda 14 2 2 4 3" xfId="1879"/>
    <cellStyle name="Moneda 14 2 2 5" xfId="777"/>
    <cellStyle name="Moneda 14 2 2 5 2" xfId="2037"/>
    <cellStyle name="Moneda 14 2 2 6" xfId="1407"/>
    <cellStyle name="Moneda 14 2 3" xfId="224"/>
    <cellStyle name="Moneda 14 2 3 2" xfId="855"/>
    <cellStyle name="Moneda 14 2 3 2 2" xfId="2115"/>
    <cellStyle name="Moneda 14 2 3 3" xfId="1485"/>
    <cellStyle name="Moneda 14 2 4" xfId="383"/>
    <cellStyle name="Moneda 14 2 4 2" xfId="1013"/>
    <cellStyle name="Moneda 14 2 4 2 2" xfId="2273"/>
    <cellStyle name="Moneda 14 2 4 3" xfId="1643"/>
    <cellStyle name="Moneda 14 2 5" xfId="541"/>
    <cellStyle name="Moneda 14 2 5 2" xfId="1171"/>
    <cellStyle name="Moneda 14 2 5 2 2" xfId="2431"/>
    <cellStyle name="Moneda 14 2 5 3" xfId="1801"/>
    <cellStyle name="Moneda 14 2 6" xfId="699"/>
    <cellStyle name="Moneda 14 2 6 2" xfId="1959"/>
    <cellStyle name="Moneda 14 2 7" xfId="1329"/>
    <cellStyle name="Moneda 14 3" xfId="94"/>
    <cellStyle name="Moneda 14 3 2" xfId="172"/>
    <cellStyle name="Moneda 14 3 2 2" xfId="328"/>
    <cellStyle name="Moneda 14 3 2 2 2" xfId="959"/>
    <cellStyle name="Moneda 14 3 2 2 2 2" xfId="2219"/>
    <cellStyle name="Moneda 14 3 2 2 3" xfId="1589"/>
    <cellStyle name="Moneda 14 3 2 3" xfId="487"/>
    <cellStyle name="Moneda 14 3 2 3 2" xfId="1117"/>
    <cellStyle name="Moneda 14 3 2 3 2 2" xfId="2377"/>
    <cellStyle name="Moneda 14 3 2 3 3" xfId="1747"/>
    <cellStyle name="Moneda 14 3 2 4" xfId="645"/>
    <cellStyle name="Moneda 14 3 2 4 2" xfId="1275"/>
    <cellStyle name="Moneda 14 3 2 4 2 2" xfId="2535"/>
    <cellStyle name="Moneda 14 3 2 4 3" xfId="1905"/>
    <cellStyle name="Moneda 14 3 2 5" xfId="803"/>
    <cellStyle name="Moneda 14 3 2 5 2" xfId="2063"/>
    <cellStyle name="Moneda 14 3 2 6" xfId="1433"/>
    <cellStyle name="Moneda 14 3 3" xfId="250"/>
    <cellStyle name="Moneda 14 3 3 2" xfId="881"/>
    <cellStyle name="Moneda 14 3 3 2 2" xfId="2141"/>
    <cellStyle name="Moneda 14 3 3 3" xfId="1511"/>
    <cellStyle name="Moneda 14 3 4" xfId="409"/>
    <cellStyle name="Moneda 14 3 4 2" xfId="1039"/>
    <cellStyle name="Moneda 14 3 4 2 2" xfId="2299"/>
    <cellStyle name="Moneda 14 3 4 3" xfId="1669"/>
    <cellStyle name="Moneda 14 3 5" xfId="567"/>
    <cellStyle name="Moneda 14 3 5 2" xfId="1197"/>
    <cellStyle name="Moneda 14 3 5 2 2" xfId="2457"/>
    <cellStyle name="Moneda 14 3 5 3" xfId="1827"/>
    <cellStyle name="Moneda 14 3 6" xfId="725"/>
    <cellStyle name="Moneda 14 3 6 2" xfId="1985"/>
    <cellStyle name="Moneda 14 3 7" xfId="1355"/>
    <cellStyle name="Moneda 14 4" xfId="120"/>
    <cellStyle name="Moneda 14 4 2" xfId="276"/>
    <cellStyle name="Moneda 14 4 2 2" xfId="907"/>
    <cellStyle name="Moneda 14 4 2 2 2" xfId="2167"/>
    <cellStyle name="Moneda 14 4 2 3" xfId="1537"/>
    <cellStyle name="Moneda 14 4 3" xfId="435"/>
    <cellStyle name="Moneda 14 4 3 2" xfId="1065"/>
    <cellStyle name="Moneda 14 4 3 2 2" xfId="2325"/>
    <cellStyle name="Moneda 14 4 3 3" xfId="1695"/>
    <cellStyle name="Moneda 14 4 4" xfId="593"/>
    <cellStyle name="Moneda 14 4 4 2" xfId="1223"/>
    <cellStyle name="Moneda 14 4 4 2 2" xfId="2483"/>
    <cellStyle name="Moneda 14 4 4 3" xfId="1853"/>
    <cellStyle name="Moneda 14 4 5" xfId="751"/>
    <cellStyle name="Moneda 14 4 5 2" xfId="2011"/>
    <cellStyle name="Moneda 14 4 6" xfId="1381"/>
    <cellStyle name="Moneda 14 5" xfId="198"/>
    <cellStyle name="Moneda 14 5 2" xfId="829"/>
    <cellStyle name="Moneda 14 5 2 2" xfId="2089"/>
    <cellStyle name="Moneda 14 5 3" xfId="1459"/>
    <cellStyle name="Moneda 14 6" xfId="357"/>
    <cellStyle name="Moneda 14 6 2" xfId="987"/>
    <cellStyle name="Moneda 14 6 2 2" xfId="2247"/>
    <cellStyle name="Moneda 14 6 3" xfId="1617"/>
    <cellStyle name="Moneda 14 7" xfId="515"/>
    <cellStyle name="Moneda 14 7 2" xfId="1145"/>
    <cellStyle name="Moneda 14 7 2 2" xfId="2405"/>
    <cellStyle name="Moneda 14 7 3" xfId="1775"/>
    <cellStyle name="Moneda 14 8" xfId="673"/>
    <cellStyle name="Moneda 14 8 2" xfId="1933"/>
    <cellStyle name="Moneda 14 9" xfId="1303"/>
    <cellStyle name="Moneda 15" xfId="27"/>
    <cellStyle name="Moneda 15 2" xfId="70"/>
    <cellStyle name="Moneda 15 2 2" xfId="148"/>
    <cellStyle name="Moneda 15 2 2 2" xfId="304"/>
    <cellStyle name="Moneda 15 2 2 2 2" xfId="935"/>
    <cellStyle name="Moneda 15 2 2 2 2 2" xfId="2195"/>
    <cellStyle name="Moneda 15 2 2 2 3" xfId="1565"/>
    <cellStyle name="Moneda 15 2 2 3" xfId="463"/>
    <cellStyle name="Moneda 15 2 2 3 2" xfId="1093"/>
    <cellStyle name="Moneda 15 2 2 3 2 2" xfId="2353"/>
    <cellStyle name="Moneda 15 2 2 3 3" xfId="1723"/>
    <cellStyle name="Moneda 15 2 2 4" xfId="621"/>
    <cellStyle name="Moneda 15 2 2 4 2" xfId="1251"/>
    <cellStyle name="Moneda 15 2 2 4 2 2" xfId="2511"/>
    <cellStyle name="Moneda 15 2 2 4 3" xfId="1881"/>
    <cellStyle name="Moneda 15 2 2 5" xfId="779"/>
    <cellStyle name="Moneda 15 2 2 5 2" xfId="2039"/>
    <cellStyle name="Moneda 15 2 2 6" xfId="1409"/>
    <cellStyle name="Moneda 15 2 3" xfId="226"/>
    <cellStyle name="Moneda 15 2 3 2" xfId="857"/>
    <cellStyle name="Moneda 15 2 3 2 2" xfId="2117"/>
    <cellStyle name="Moneda 15 2 3 3" xfId="1487"/>
    <cellStyle name="Moneda 15 2 4" xfId="385"/>
    <cellStyle name="Moneda 15 2 4 2" xfId="1015"/>
    <cellStyle name="Moneda 15 2 4 2 2" xfId="2275"/>
    <cellStyle name="Moneda 15 2 4 3" xfId="1645"/>
    <cellStyle name="Moneda 15 2 5" xfId="543"/>
    <cellStyle name="Moneda 15 2 5 2" xfId="1173"/>
    <cellStyle name="Moneda 15 2 5 2 2" xfId="2433"/>
    <cellStyle name="Moneda 15 2 5 3" xfId="1803"/>
    <cellStyle name="Moneda 15 2 6" xfId="701"/>
    <cellStyle name="Moneda 15 2 6 2" xfId="1961"/>
    <cellStyle name="Moneda 15 2 7" xfId="1331"/>
    <cellStyle name="Moneda 15 3" xfId="96"/>
    <cellStyle name="Moneda 15 3 2" xfId="174"/>
    <cellStyle name="Moneda 15 3 2 2" xfId="330"/>
    <cellStyle name="Moneda 15 3 2 2 2" xfId="961"/>
    <cellStyle name="Moneda 15 3 2 2 2 2" xfId="2221"/>
    <cellStyle name="Moneda 15 3 2 2 3" xfId="1591"/>
    <cellStyle name="Moneda 15 3 2 3" xfId="489"/>
    <cellStyle name="Moneda 15 3 2 3 2" xfId="1119"/>
    <cellStyle name="Moneda 15 3 2 3 2 2" xfId="2379"/>
    <cellStyle name="Moneda 15 3 2 3 3" xfId="1749"/>
    <cellStyle name="Moneda 15 3 2 4" xfId="647"/>
    <cellStyle name="Moneda 15 3 2 4 2" xfId="1277"/>
    <cellStyle name="Moneda 15 3 2 4 2 2" xfId="2537"/>
    <cellStyle name="Moneda 15 3 2 4 3" xfId="1907"/>
    <cellStyle name="Moneda 15 3 2 5" xfId="805"/>
    <cellStyle name="Moneda 15 3 2 5 2" xfId="2065"/>
    <cellStyle name="Moneda 15 3 2 6" xfId="1435"/>
    <cellStyle name="Moneda 15 3 3" xfId="252"/>
    <cellStyle name="Moneda 15 3 3 2" xfId="883"/>
    <cellStyle name="Moneda 15 3 3 2 2" xfId="2143"/>
    <cellStyle name="Moneda 15 3 3 3" xfId="1513"/>
    <cellStyle name="Moneda 15 3 4" xfId="411"/>
    <cellStyle name="Moneda 15 3 4 2" xfId="1041"/>
    <cellStyle name="Moneda 15 3 4 2 2" xfId="2301"/>
    <cellStyle name="Moneda 15 3 4 3" xfId="1671"/>
    <cellStyle name="Moneda 15 3 5" xfId="569"/>
    <cellStyle name="Moneda 15 3 5 2" xfId="1199"/>
    <cellStyle name="Moneda 15 3 5 2 2" xfId="2459"/>
    <cellStyle name="Moneda 15 3 5 3" xfId="1829"/>
    <cellStyle name="Moneda 15 3 6" xfId="727"/>
    <cellStyle name="Moneda 15 3 6 2" xfId="1987"/>
    <cellStyle name="Moneda 15 3 7" xfId="1357"/>
    <cellStyle name="Moneda 15 4" xfId="122"/>
    <cellStyle name="Moneda 15 4 2" xfId="278"/>
    <cellStyle name="Moneda 15 4 2 2" xfId="909"/>
    <cellStyle name="Moneda 15 4 2 2 2" xfId="2169"/>
    <cellStyle name="Moneda 15 4 2 3" xfId="1539"/>
    <cellStyle name="Moneda 15 4 3" xfId="437"/>
    <cellStyle name="Moneda 15 4 3 2" xfId="1067"/>
    <cellStyle name="Moneda 15 4 3 2 2" xfId="2327"/>
    <cellStyle name="Moneda 15 4 3 3" xfId="1697"/>
    <cellStyle name="Moneda 15 4 4" xfId="595"/>
    <cellStyle name="Moneda 15 4 4 2" xfId="1225"/>
    <cellStyle name="Moneda 15 4 4 2 2" xfId="2485"/>
    <cellStyle name="Moneda 15 4 4 3" xfId="1855"/>
    <cellStyle name="Moneda 15 4 5" xfId="753"/>
    <cellStyle name="Moneda 15 4 5 2" xfId="2013"/>
    <cellStyle name="Moneda 15 4 6" xfId="1383"/>
    <cellStyle name="Moneda 15 5" xfId="200"/>
    <cellStyle name="Moneda 15 5 2" xfId="831"/>
    <cellStyle name="Moneda 15 5 2 2" xfId="2091"/>
    <cellStyle name="Moneda 15 5 3" xfId="1461"/>
    <cellStyle name="Moneda 15 6" xfId="359"/>
    <cellStyle name="Moneda 15 6 2" xfId="989"/>
    <cellStyle name="Moneda 15 6 2 2" xfId="2249"/>
    <cellStyle name="Moneda 15 6 3" xfId="1619"/>
    <cellStyle name="Moneda 15 7" xfId="517"/>
    <cellStyle name="Moneda 15 7 2" xfId="1147"/>
    <cellStyle name="Moneda 15 7 2 2" xfId="2407"/>
    <cellStyle name="Moneda 15 7 3" xfId="1777"/>
    <cellStyle name="Moneda 15 8" xfId="675"/>
    <cellStyle name="Moneda 15 8 2" xfId="1935"/>
    <cellStyle name="Moneda 15 9" xfId="1305"/>
    <cellStyle name="Moneda 16" xfId="336"/>
    <cellStyle name="Moneda 16 2" xfId="495"/>
    <cellStyle name="Moneda 16 2 2" xfId="1125"/>
    <cellStyle name="Moneda 16 2 2 2" xfId="2385"/>
    <cellStyle name="Moneda 16 2 3" xfId="1755"/>
    <cellStyle name="Moneda 16 3" xfId="653"/>
    <cellStyle name="Moneda 16 3 2" xfId="1283"/>
    <cellStyle name="Moneda 16 3 2 2" xfId="2543"/>
    <cellStyle name="Moneda 16 3 3" xfId="2546"/>
    <cellStyle name="Moneda 16 3 4" xfId="2550"/>
    <cellStyle name="Moneda 16 3 5" xfId="2554"/>
    <cellStyle name="Moneda 16 3 6" xfId="2559"/>
    <cellStyle name="Moneda 16 3 7" xfId="1913"/>
    <cellStyle name="Moneda 16 4" xfId="967"/>
    <cellStyle name="Moneda 16 4 2" xfId="2227"/>
    <cellStyle name="Moneda 16 5" xfId="1597"/>
    <cellStyle name="Moneda 2" xfId="7"/>
    <cellStyle name="Moneda 2 10" xfId="656"/>
    <cellStyle name="Moneda 2 10 2" xfId="1916"/>
    <cellStyle name="Moneda 2 11" xfId="1286"/>
    <cellStyle name="Moneda 2 2" xfId="35"/>
    <cellStyle name="Moneda 2 3" xfId="34"/>
    <cellStyle name="Moneda 2 4" xfId="51"/>
    <cellStyle name="Moneda 2 4 2" xfId="129"/>
    <cellStyle name="Moneda 2 4 2 2" xfId="285"/>
    <cellStyle name="Moneda 2 4 2 2 2" xfId="916"/>
    <cellStyle name="Moneda 2 4 2 2 2 2" xfId="2176"/>
    <cellStyle name="Moneda 2 4 2 2 3" xfId="1546"/>
    <cellStyle name="Moneda 2 4 2 3" xfId="444"/>
    <cellStyle name="Moneda 2 4 2 3 2" xfId="1074"/>
    <cellStyle name="Moneda 2 4 2 3 2 2" xfId="2334"/>
    <cellStyle name="Moneda 2 4 2 3 3" xfId="1704"/>
    <cellStyle name="Moneda 2 4 2 4" xfId="602"/>
    <cellStyle name="Moneda 2 4 2 4 2" xfId="1232"/>
    <cellStyle name="Moneda 2 4 2 4 2 2" xfId="2492"/>
    <cellStyle name="Moneda 2 4 2 4 3" xfId="1862"/>
    <cellStyle name="Moneda 2 4 2 5" xfId="760"/>
    <cellStyle name="Moneda 2 4 2 5 2" xfId="2020"/>
    <cellStyle name="Moneda 2 4 2 6" xfId="1390"/>
    <cellStyle name="Moneda 2 4 3" xfId="207"/>
    <cellStyle name="Moneda 2 4 3 2" xfId="838"/>
    <cellStyle name="Moneda 2 4 3 2 2" xfId="2098"/>
    <cellStyle name="Moneda 2 4 3 3" xfId="1468"/>
    <cellStyle name="Moneda 2 4 4" xfId="366"/>
    <cellStyle name="Moneda 2 4 4 2" xfId="996"/>
    <cellStyle name="Moneda 2 4 4 2 2" xfId="2256"/>
    <cellStyle name="Moneda 2 4 4 3" xfId="1626"/>
    <cellStyle name="Moneda 2 4 5" xfId="524"/>
    <cellStyle name="Moneda 2 4 5 2" xfId="1154"/>
    <cellStyle name="Moneda 2 4 5 2 2" xfId="2414"/>
    <cellStyle name="Moneda 2 4 5 3" xfId="1784"/>
    <cellStyle name="Moneda 2 4 6" xfId="682"/>
    <cellStyle name="Moneda 2 4 6 2" xfId="1942"/>
    <cellStyle name="Moneda 2 4 7" xfId="1312"/>
    <cellStyle name="Moneda 2 5" xfId="77"/>
    <cellStyle name="Moneda 2 5 2" xfId="155"/>
    <cellStyle name="Moneda 2 5 2 2" xfId="311"/>
    <cellStyle name="Moneda 2 5 2 2 2" xfId="942"/>
    <cellStyle name="Moneda 2 5 2 2 2 2" xfId="2202"/>
    <cellStyle name="Moneda 2 5 2 2 3" xfId="1572"/>
    <cellStyle name="Moneda 2 5 2 3" xfId="470"/>
    <cellStyle name="Moneda 2 5 2 3 2" xfId="1100"/>
    <cellStyle name="Moneda 2 5 2 3 2 2" xfId="2360"/>
    <cellStyle name="Moneda 2 5 2 3 3" xfId="1730"/>
    <cellStyle name="Moneda 2 5 2 4" xfId="628"/>
    <cellStyle name="Moneda 2 5 2 4 2" xfId="1258"/>
    <cellStyle name="Moneda 2 5 2 4 2 2" xfId="2518"/>
    <cellStyle name="Moneda 2 5 2 4 3" xfId="1888"/>
    <cellStyle name="Moneda 2 5 2 5" xfId="786"/>
    <cellStyle name="Moneda 2 5 2 5 2" xfId="2046"/>
    <cellStyle name="Moneda 2 5 2 6" xfId="1416"/>
    <cellStyle name="Moneda 2 5 3" xfId="233"/>
    <cellStyle name="Moneda 2 5 3 2" xfId="864"/>
    <cellStyle name="Moneda 2 5 3 2 2" xfId="2124"/>
    <cellStyle name="Moneda 2 5 3 3" xfId="1494"/>
    <cellStyle name="Moneda 2 5 4" xfId="392"/>
    <cellStyle name="Moneda 2 5 4 2" xfId="1022"/>
    <cellStyle name="Moneda 2 5 4 2 2" xfId="2282"/>
    <cellStyle name="Moneda 2 5 4 3" xfId="1652"/>
    <cellStyle name="Moneda 2 5 5" xfId="550"/>
    <cellStyle name="Moneda 2 5 5 2" xfId="1180"/>
    <cellStyle name="Moneda 2 5 5 2 2" xfId="2440"/>
    <cellStyle name="Moneda 2 5 5 3" xfId="1810"/>
    <cellStyle name="Moneda 2 5 6" xfId="708"/>
    <cellStyle name="Moneda 2 5 6 2" xfId="1968"/>
    <cellStyle name="Moneda 2 5 7" xfId="1338"/>
    <cellStyle name="Moneda 2 6" xfId="103"/>
    <cellStyle name="Moneda 2 6 2" xfId="259"/>
    <cellStyle name="Moneda 2 6 2 2" xfId="890"/>
    <cellStyle name="Moneda 2 6 2 2 2" xfId="2150"/>
    <cellStyle name="Moneda 2 6 2 3" xfId="1520"/>
    <cellStyle name="Moneda 2 6 3" xfId="418"/>
    <cellStyle name="Moneda 2 6 3 2" xfId="1048"/>
    <cellStyle name="Moneda 2 6 3 2 2" xfId="2308"/>
    <cellStyle name="Moneda 2 6 3 3" xfId="1678"/>
    <cellStyle name="Moneda 2 6 4" xfId="576"/>
    <cellStyle name="Moneda 2 6 4 2" xfId="1206"/>
    <cellStyle name="Moneda 2 6 4 2 2" xfId="2466"/>
    <cellStyle name="Moneda 2 6 4 3" xfId="1836"/>
    <cellStyle name="Moneda 2 6 5" xfId="734"/>
    <cellStyle name="Moneda 2 6 5 2" xfId="1994"/>
    <cellStyle name="Moneda 2 6 6" xfId="1364"/>
    <cellStyle name="Moneda 2 7" xfId="181"/>
    <cellStyle name="Moneda 2 7 2" xfId="812"/>
    <cellStyle name="Moneda 2 7 2 2" xfId="2072"/>
    <cellStyle name="Moneda 2 7 3" xfId="1442"/>
    <cellStyle name="Moneda 2 8" xfId="340"/>
    <cellStyle name="Moneda 2 8 2" xfId="970"/>
    <cellStyle name="Moneda 2 8 2 2" xfId="2230"/>
    <cellStyle name="Moneda 2 8 3" xfId="1600"/>
    <cellStyle name="Moneda 2 9" xfId="498"/>
    <cellStyle name="Moneda 2 9 2" xfId="1128"/>
    <cellStyle name="Moneda 2 9 2 2" xfId="2388"/>
    <cellStyle name="Moneda 2 9 3" xfId="1758"/>
    <cellStyle name="Moneda 3" xfId="18"/>
    <cellStyle name="Moneda 3 10" xfId="667"/>
    <cellStyle name="Moneda 3 10 2" xfId="1927"/>
    <cellStyle name="Moneda 3 11" xfId="1297"/>
    <cellStyle name="Moneda 3 2" xfId="37"/>
    <cellStyle name="Moneda 3 3" xfId="36"/>
    <cellStyle name="Moneda 3 4" xfId="62"/>
    <cellStyle name="Moneda 3 4 2" xfId="140"/>
    <cellStyle name="Moneda 3 4 2 2" xfId="296"/>
    <cellStyle name="Moneda 3 4 2 2 2" xfId="927"/>
    <cellStyle name="Moneda 3 4 2 2 2 2" xfId="2187"/>
    <cellStyle name="Moneda 3 4 2 2 3" xfId="1557"/>
    <cellStyle name="Moneda 3 4 2 3" xfId="455"/>
    <cellStyle name="Moneda 3 4 2 3 2" xfId="1085"/>
    <cellStyle name="Moneda 3 4 2 3 2 2" xfId="2345"/>
    <cellStyle name="Moneda 3 4 2 3 3" xfId="1715"/>
    <cellStyle name="Moneda 3 4 2 4" xfId="613"/>
    <cellStyle name="Moneda 3 4 2 4 2" xfId="1243"/>
    <cellStyle name="Moneda 3 4 2 4 2 2" xfId="2503"/>
    <cellStyle name="Moneda 3 4 2 4 3" xfId="1873"/>
    <cellStyle name="Moneda 3 4 2 5" xfId="771"/>
    <cellStyle name="Moneda 3 4 2 5 2" xfId="2031"/>
    <cellStyle name="Moneda 3 4 2 6" xfId="1401"/>
    <cellStyle name="Moneda 3 4 3" xfId="218"/>
    <cellStyle name="Moneda 3 4 3 2" xfId="849"/>
    <cellStyle name="Moneda 3 4 3 2 2" xfId="2109"/>
    <cellStyle name="Moneda 3 4 3 3" xfId="1479"/>
    <cellStyle name="Moneda 3 4 4" xfId="377"/>
    <cellStyle name="Moneda 3 4 4 2" xfId="1007"/>
    <cellStyle name="Moneda 3 4 4 2 2" xfId="2267"/>
    <cellStyle name="Moneda 3 4 4 3" xfId="1637"/>
    <cellStyle name="Moneda 3 4 5" xfId="535"/>
    <cellStyle name="Moneda 3 4 5 2" xfId="1165"/>
    <cellStyle name="Moneda 3 4 5 2 2" xfId="2425"/>
    <cellStyle name="Moneda 3 4 5 3" xfId="1795"/>
    <cellStyle name="Moneda 3 4 6" xfId="693"/>
    <cellStyle name="Moneda 3 4 6 2" xfId="1953"/>
    <cellStyle name="Moneda 3 4 7" xfId="1323"/>
    <cellStyle name="Moneda 3 5" xfId="88"/>
    <cellStyle name="Moneda 3 5 2" xfId="166"/>
    <cellStyle name="Moneda 3 5 2 2" xfId="322"/>
    <cellStyle name="Moneda 3 5 2 2 2" xfId="953"/>
    <cellStyle name="Moneda 3 5 2 2 2 2" xfId="2213"/>
    <cellStyle name="Moneda 3 5 2 2 3" xfId="1583"/>
    <cellStyle name="Moneda 3 5 2 3" xfId="481"/>
    <cellStyle name="Moneda 3 5 2 3 2" xfId="1111"/>
    <cellStyle name="Moneda 3 5 2 3 2 2" xfId="2371"/>
    <cellStyle name="Moneda 3 5 2 3 3" xfId="1741"/>
    <cellStyle name="Moneda 3 5 2 4" xfId="639"/>
    <cellStyle name="Moneda 3 5 2 4 2" xfId="1269"/>
    <cellStyle name="Moneda 3 5 2 4 2 2" xfId="2529"/>
    <cellStyle name="Moneda 3 5 2 4 3" xfId="1899"/>
    <cellStyle name="Moneda 3 5 2 5" xfId="797"/>
    <cellStyle name="Moneda 3 5 2 5 2" xfId="2057"/>
    <cellStyle name="Moneda 3 5 2 6" xfId="1427"/>
    <cellStyle name="Moneda 3 5 3" xfId="244"/>
    <cellStyle name="Moneda 3 5 3 2" xfId="875"/>
    <cellStyle name="Moneda 3 5 3 2 2" xfId="2135"/>
    <cellStyle name="Moneda 3 5 3 3" xfId="1505"/>
    <cellStyle name="Moneda 3 5 4" xfId="403"/>
    <cellStyle name="Moneda 3 5 4 2" xfId="1033"/>
    <cellStyle name="Moneda 3 5 4 2 2" xfId="2293"/>
    <cellStyle name="Moneda 3 5 4 3" xfId="1663"/>
    <cellStyle name="Moneda 3 5 5" xfId="561"/>
    <cellStyle name="Moneda 3 5 5 2" xfId="1191"/>
    <cellStyle name="Moneda 3 5 5 2 2" xfId="2451"/>
    <cellStyle name="Moneda 3 5 5 3" xfId="1821"/>
    <cellStyle name="Moneda 3 5 6" xfId="719"/>
    <cellStyle name="Moneda 3 5 6 2" xfId="1979"/>
    <cellStyle name="Moneda 3 5 7" xfId="1349"/>
    <cellStyle name="Moneda 3 6" xfId="114"/>
    <cellStyle name="Moneda 3 6 2" xfId="270"/>
    <cellStyle name="Moneda 3 6 2 2" xfId="901"/>
    <cellStyle name="Moneda 3 6 2 2 2" xfId="2161"/>
    <cellStyle name="Moneda 3 6 2 3" xfId="1531"/>
    <cellStyle name="Moneda 3 6 3" xfId="429"/>
    <cellStyle name="Moneda 3 6 3 2" xfId="1059"/>
    <cellStyle name="Moneda 3 6 3 2 2" xfId="2319"/>
    <cellStyle name="Moneda 3 6 3 3" xfId="1689"/>
    <cellStyle name="Moneda 3 6 4" xfId="587"/>
    <cellStyle name="Moneda 3 6 4 2" xfId="1217"/>
    <cellStyle name="Moneda 3 6 4 2 2" xfId="2477"/>
    <cellStyle name="Moneda 3 6 4 3" xfId="1847"/>
    <cellStyle name="Moneda 3 6 5" xfId="745"/>
    <cellStyle name="Moneda 3 6 5 2" xfId="2005"/>
    <cellStyle name="Moneda 3 6 6" xfId="1375"/>
    <cellStyle name="Moneda 3 7" xfId="192"/>
    <cellStyle name="Moneda 3 7 2" xfId="823"/>
    <cellStyle name="Moneda 3 7 2 2" xfId="2083"/>
    <cellStyle name="Moneda 3 7 3" xfId="1453"/>
    <cellStyle name="Moneda 3 8" xfId="351"/>
    <cellStyle name="Moneda 3 8 2" xfId="981"/>
    <cellStyle name="Moneda 3 8 2 2" xfId="2241"/>
    <cellStyle name="Moneda 3 8 3" xfId="1611"/>
    <cellStyle name="Moneda 3 9" xfId="509"/>
    <cellStyle name="Moneda 3 9 2" xfId="1139"/>
    <cellStyle name="Moneda 3 9 2 2" xfId="2399"/>
    <cellStyle name="Moneda 3 9 3" xfId="1769"/>
    <cellStyle name="Moneda 4" xfId="21"/>
    <cellStyle name="Moneda 4 10" xfId="669"/>
    <cellStyle name="Moneda 4 10 2" xfId="1929"/>
    <cellStyle name="Moneda 4 11" xfId="1299"/>
    <cellStyle name="Moneda 4 2" xfId="39"/>
    <cellStyle name="Moneda 4 3" xfId="38"/>
    <cellStyle name="Moneda 4 4" xfId="64"/>
    <cellStyle name="Moneda 4 4 2" xfId="142"/>
    <cellStyle name="Moneda 4 4 2 2" xfId="298"/>
    <cellStyle name="Moneda 4 4 2 2 2" xfId="929"/>
    <cellStyle name="Moneda 4 4 2 2 2 2" xfId="2189"/>
    <cellStyle name="Moneda 4 4 2 2 3" xfId="1559"/>
    <cellStyle name="Moneda 4 4 2 3" xfId="457"/>
    <cellStyle name="Moneda 4 4 2 3 2" xfId="1087"/>
    <cellStyle name="Moneda 4 4 2 3 2 2" xfId="2347"/>
    <cellStyle name="Moneda 4 4 2 3 3" xfId="1717"/>
    <cellStyle name="Moneda 4 4 2 4" xfId="615"/>
    <cellStyle name="Moneda 4 4 2 4 2" xfId="1245"/>
    <cellStyle name="Moneda 4 4 2 4 2 2" xfId="2505"/>
    <cellStyle name="Moneda 4 4 2 4 3" xfId="1875"/>
    <cellStyle name="Moneda 4 4 2 5" xfId="773"/>
    <cellStyle name="Moneda 4 4 2 5 2" xfId="2033"/>
    <cellStyle name="Moneda 4 4 2 6" xfId="1403"/>
    <cellStyle name="Moneda 4 4 3" xfId="220"/>
    <cellStyle name="Moneda 4 4 3 2" xfId="851"/>
    <cellStyle name="Moneda 4 4 3 2 2" xfId="2111"/>
    <cellStyle name="Moneda 4 4 3 3" xfId="1481"/>
    <cellStyle name="Moneda 4 4 4" xfId="379"/>
    <cellStyle name="Moneda 4 4 4 2" xfId="1009"/>
    <cellStyle name="Moneda 4 4 4 2 2" xfId="2269"/>
    <cellStyle name="Moneda 4 4 4 3" xfId="1639"/>
    <cellStyle name="Moneda 4 4 5" xfId="537"/>
    <cellStyle name="Moneda 4 4 5 2" xfId="1167"/>
    <cellStyle name="Moneda 4 4 5 2 2" xfId="2427"/>
    <cellStyle name="Moneda 4 4 5 3" xfId="1797"/>
    <cellStyle name="Moneda 4 4 6" xfId="695"/>
    <cellStyle name="Moneda 4 4 6 2" xfId="1955"/>
    <cellStyle name="Moneda 4 4 7" xfId="1325"/>
    <cellStyle name="Moneda 4 5" xfId="90"/>
    <cellStyle name="Moneda 4 5 2" xfId="168"/>
    <cellStyle name="Moneda 4 5 2 2" xfId="324"/>
    <cellStyle name="Moneda 4 5 2 2 2" xfId="955"/>
    <cellStyle name="Moneda 4 5 2 2 2 2" xfId="2215"/>
    <cellStyle name="Moneda 4 5 2 2 3" xfId="1585"/>
    <cellStyle name="Moneda 4 5 2 3" xfId="483"/>
    <cellStyle name="Moneda 4 5 2 3 2" xfId="1113"/>
    <cellStyle name="Moneda 4 5 2 3 2 2" xfId="2373"/>
    <cellStyle name="Moneda 4 5 2 3 3" xfId="1743"/>
    <cellStyle name="Moneda 4 5 2 4" xfId="641"/>
    <cellStyle name="Moneda 4 5 2 4 2" xfId="1271"/>
    <cellStyle name="Moneda 4 5 2 4 2 2" xfId="2531"/>
    <cellStyle name="Moneda 4 5 2 4 3" xfId="1901"/>
    <cellStyle name="Moneda 4 5 2 5" xfId="799"/>
    <cellStyle name="Moneda 4 5 2 5 2" xfId="2059"/>
    <cellStyle name="Moneda 4 5 2 6" xfId="1429"/>
    <cellStyle name="Moneda 4 5 3" xfId="246"/>
    <cellStyle name="Moneda 4 5 3 2" xfId="877"/>
    <cellStyle name="Moneda 4 5 3 2 2" xfId="2137"/>
    <cellStyle name="Moneda 4 5 3 3" xfId="1507"/>
    <cellStyle name="Moneda 4 5 4" xfId="405"/>
    <cellStyle name="Moneda 4 5 4 2" xfId="1035"/>
    <cellStyle name="Moneda 4 5 4 2 2" xfId="2295"/>
    <cellStyle name="Moneda 4 5 4 3" xfId="1665"/>
    <cellStyle name="Moneda 4 5 5" xfId="563"/>
    <cellStyle name="Moneda 4 5 5 2" xfId="1193"/>
    <cellStyle name="Moneda 4 5 5 2 2" xfId="2453"/>
    <cellStyle name="Moneda 4 5 5 3" xfId="1823"/>
    <cellStyle name="Moneda 4 5 6" xfId="721"/>
    <cellStyle name="Moneda 4 5 6 2" xfId="1981"/>
    <cellStyle name="Moneda 4 5 7" xfId="1351"/>
    <cellStyle name="Moneda 4 6" xfId="116"/>
    <cellStyle name="Moneda 4 6 2" xfId="272"/>
    <cellStyle name="Moneda 4 6 2 2" xfId="903"/>
    <cellStyle name="Moneda 4 6 2 2 2" xfId="2163"/>
    <cellStyle name="Moneda 4 6 2 3" xfId="1533"/>
    <cellStyle name="Moneda 4 6 3" xfId="431"/>
    <cellStyle name="Moneda 4 6 3 2" xfId="1061"/>
    <cellStyle name="Moneda 4 6 3 2 2" xfId="2321"/>
    <cellStyle name="Moneda 4 6 3 3" xfId="1691"/>
    <cellStyle name="Moneda 4 6 4" xfId="589"/>
    <cellStyle name="Moneda 4 6 4 2" xfId="1219"/>
    <cellStyle name="Moneda 4 6 4 2 2" xfId="2479"/>
    <cellStyle name="Moneda 4 6 4 3" xfId="1849"/>
    <cellStyle name="Moneda 4 6 5" xfId="747"/>
    <cellStyle name="Moneda 4 6 5 2" xfId="2007"/>
    <cellStyle name="Moneda 4 6 6" xfId="1377"/>
    <cellStyle name="Moneda 4 7" xfId="194"/>
    <cellStyle name="Moneda 4 7 2" xfId="825"/>
    <cellStyle name="Moneda 4 7 2 2" xfId="2085"/>
    <cellStyle name="Moneda 4 7 3" xfId="1455"/>
    <cellStyle name="Moneda 4 8" xfId="353"/>
    <cellStyle name="Moneda 4 8 2" xfId="983"/>
    <cellStyle name="Moneda 4 8 2 2" xfId="2243"/>
    <cellStyle name="Moneda 4 8 3" xfId="1613"/>
    <cellStyle name="Moneda 4 9" xfId="511"/>
    <cellStyle name="Moneda 4 9 2" xfId="1141"/>
    <cellStyle name="Moneda 4 9 2 2" xfId="2401"/>
    <cellStyle name="Moneda 4 9 3" xfId="1771"/>
    <cellStyle name="Moneda 5" xfId="20"/>
    <cellStyle name="Moneda 5 2" xfId="63"/>
    <cellStyle name="Moneda 5 2 2" xfId="141"/>
    <cellStyle name="Moneda 5 2 2 2" xfId="297"/>
    <cellStyle name="Moneda 5 2 2 2 2" xfId="928"/>
    <cellStyle name="Moneda 5 2 2 2 2 2" xfId="2188"/>
    <cellStyle name="Moneda 5 2 2 2 3" xfId="1558"/>
    <cellStyle name="Moneda 5 2 2 3" xfId="456"/>
    <cellStyle name="Moneda 5 2 2 3 2" xfId="1086"/>
    <cellStyle name="Moneda 5 2 2 3 2 2" xfId="2346"/>
    <cellStyle name="Moneda 5 2 2 3 3" xfId="1716"/>
    <cellStyle name="Moneda 5 2 2 4" xfId="614"/>
    <cellStyle name="Moneda 5 2 2 4 2" xfId="1244"/>
    <cellStyle name="Moneda 5 2 2 4 2 2" xfId="2504"/>
    <cellStyle name="Moneda 5 2 2 4 3" xfId="1874"/>
    <cellStyle name="Moneda 5 2 2 5" xfId="772"/>
    <cellStyle name="Moneda 5 2 2 5 2" xfId="2032"/>
    <cellStyle name="Moneda 5 2 2 6" xfId="1402"/>
    <cellStyle name="Moneda 5 2 3" xfId="219"/>
    <cellStyle name="Moneda 5 2 3 2" xfId="850"/>
    <cellStyle name="Moneda 5 2 3 2 2" xfId="2110"/>
    <cellStyle name="Moneda 5 2 3 3" xfId="1480"/>
    <cellStyle name="Moneda 5 2 4" xfId="378"/>
    <cellStyle name="Moneda 5 2 4 2" xfId="1008"/>
    <cellStyle name="Moneda 5 2 4 2 2" xfId="2268"/>
    <cellStyle name="Moneda 5 2 4 3" xfId="1638"/>
    <cellStyle name="Moneda 5 2 5" xfId="536"/>
    <cellStyle name="Moneda 5 2 5 2" xfId="1166"/>
    <cellStyle name="Moneda 5 2 5 2 2" xfId="2426"/>
    <cellStyle name="Moneda 5 2 5 3" xfId="1796"/>
    <cellStyle name="Moneda 5 2 6" xfId="694"/>
    <cellStyle name="Moneda 5 2 6 2" xfId="1954"/>
    <cellStyle name="Moneda 5 2 7" xfId="1324"/>
    <cellStyle name="Moneda 5 3" xfId="89"/>
    <cellStyle name="Moneda 5 3 2" xfId="167"/>
    <cellStyle name="Moneda 5 3 2 2" xfId="323"/>
    <cellStyle name="Moneda 5 3 2 2 2" xfId="954"/>
    <cellStyle name="Moneda 5 3 2 2 2 2" xfId="2214"/>
    <cellStyle name="Moneda 5 3 2 2 3" xfId="1584"/>
    <cellStyle name="Moneda 5 3 2 3" xfId="482"/>
    <cellStyle name="Moneda 5 3 2 3 2" xfId="1112"/>
    <cellStyle name="Moneda 5 3 2 3 2 2" xfId="2372"/>
    <cellStyle name="Moneda 5 3 2 3 3" xfId="1742"/>
    <cellStyle name="Moneda 5 3 2 4" xfId="640"/>
    <cellStyle name="Moneda 5 3 2 4 2" xfId="1270"/>
    <cellStyle name="Moneda 5 3 2 4 2 2" xfId="2530"/>
    <cellStyle name="Moneda 5 3 2 4 3" xfId="1900"/>
    <cellStyle name="Moneda 5 3 2 5" xfId="798"/>
    <cellStyle name="Moneda 5 3 2 5 2" xfId="2058"/>
    <cellStyle name="Moneda 5 3 2 6" xfId="1428"/>
    <cellStyle name="Moneda 5 3 3" xfId="245"/>
    <cellStyle name="Moneda 5 3 3 2" xfId="876"/>
    <cellStyle name="Moneda 5 3 3 2 2" xfId="2136"/>
    <cellStyle name="Moneda 5 3 3 3" xfId="1506"/>
    <cellStyle name="Moneda 5 3 4" xfId="404"/>
    <cellStyle name="Moneda 5 3 4 2" xfId="1034"/>
    <cellStyle name="Moneda 5 3 4 2 2" xfId="2294"/>
    <cellStyle name="Moneda 5 3 4 3" xfId="1664"/>
    <cellStyle name="Moneda 5 3 5" xfId="562"/>
    <cellStyle name="Moneda 5 3 5 2" xfId="1192"/>
    <cellStyle name="Moneda 5 3 5 2 2" xfId="2452"/>
    <cellStyle name="Moneda 5 3 5 3" xfId="1822"/>
    <cellStyle name="Moneda 5 3 6" xfId="720"/>
    <cellStyle name="Moneda 5 3 6 2" xfId="1980"/>
    <cellStyle name="Moneda 5 3 7" xfId="1350"/>
    <cellStyle name="Moneda 5 4" xfId="115"/>
    <cellStyle name="Moneda 5 4 2" xfId="271"/>
    <cellStyle name="Moneda 5 4 2 2" xfId="902"/>
    <cellStyle name="Moneda 5 4 2 2 2" xfId="2162"/>
    <cellStyle name="Moneda 5 4 2 3" xfId="1532"/>
    <cellStyle name="Moneda 5 4 3" xfId="430"/>
    <cellStyle name="Moneda 5 4 3 2" xfId="1060"/>
    <cellStyle name="Moneda 5 4 3 2 2" xfId="2320"/>
    <cellStyle name="Moneda 5 4 3 3" xfId="1690"/>
    <cellStyle name="Moneda 5 4 4" xfId="588"/>
    <cellStyle name="Moneda 5 4 4 2" xfId="1218"/>
    <cellStyle name="Moneda 5 4 4 2 2" xfId="2478"/>
    <cellStyle name="Moneda 5 4 4 3" xfId="1848"/>
    <cellStyle name="Moneda 5 4 5" xfId="746"/>
    <cellStyle name="Moneda 5 4 5 2" xfId="2006"/>
    <cellStyle name="Moneda 5 4 6" xfId="1376"/>
    <cellStyle name="Moneda 5 5" xfId="193"/>
    <cellStyle name="Moneda 5 5 2" xfId="824"/>
    <cellStyle name="Moneda 5 5 2 2" xfId="2084"/>
    <cellStyle name="Moneda 5 5 3" xfId="1454"/>
    <cellStyle name="Moneda 5 6" xfId="352"/>
    <cellStyle name="Moneda 5 6 2" xfId="982"/>
    <cellStyle name="Moneda 5 6 2 2" xfId="2242"/>
    <cellStyle name="Moneda 5 6 3" xfId="1612"/>
    <cellStyle name="Moneda 5 7" xfId="510"/>
    <cellStyle name="Moneda 5 7 2" xfId="1140"/>
    <cellStyle name="Moneda 5 7 2 2" xfId="2400"/>
    <cellStyle name="Moneda 5 7 3" xfId="1770"/>
    <cellStyle name="Moneda 5 8" xfId="668"/>
    <cellStyle name="Moneda 5 8 2" xfId="1928"/>
    <cellStyle name="Moneda 5 9" xfId="1298"/>
    <cellStyle name="Moneda 6" xfId="16"/>
    <cellStyle name="Moneda 6 2" xfId="60"/>
    <cellStyle name="Moneda 6 2 2" xfId="138"/>
    <cellStyle name="Moneda 6 2 2 2" xfId="294"/>
    <cellStyle name="Moneda 6 2 2 2 2" xfId="925"/>
    <cellStyle name="Moneda 6 2 2 2 2 2" xfId="2185"/>
    <cellStyle name="Moneda 6 2 2 2 3" xfId="1555"/>
    <cellStyle name="Moneda 6 2 2 3" xfId="453"/>
    <cellStyle name="Moneda 6 2 2 3 2" xfId="1083"/>
    <cellStyle name="Moneda 6 2 2 3 2 2" xfId="2343"/>
    <cellStyle name="Moneda 6 2 2 3 3" xfId="1713"/>
    <cellStyle name="Moneda 6 2 2 4" xfId="611"/>
    <cellStyle name="Moneda 6 2 2 4 2" xfId="1241"/>
    <cellStyle name="Moneda 6 2 2 4 2 2" xfId="2501"/>
    <cellStyle name="Moneda 6 2 2 4 3" xfId="1871"/>
    <cellStyle name="Moneda 6 2 2 5" xfId="769"/>
    <cellStyle name="Moneda 6 2 2 5 2" xfId="2029"/>
    <cellStyle name="Moneda 6 2 2 6" xfId="1399"/>
    <cellStyle name="Moneda 6 2 3" xfId="216"/>
    <cellStyle name="Moneda 6 2 3 2" xfId="847"/>
    <cellStyle name="Moneda 6 2 3 2 2" xfId="2107"/>
    <cellStyle name="Moneda 6 2 3 3" xfId="1477"/>
    <cellStyle name="Moneda 6 2 4" xfId="375"/>
    <cellStyle name="Moneda 6 2 4 2" xfId="1005"/>
    <cellStyle name="Moneda 6 2 4 2 2" xfId="2265"/>
    <cellStyle name="Moneda 6 2 4 3" xfId="1635"/>
    <cellStyle name="Moneda 6 2 5" xfId="533"/>
    <cellStyle name="Moneda 6 2 5 2" xfId="1163"/>
    <cellStyle name="Moneda 6 2 5 2 2" xfId="2423"/>
    <cellStyle name="Moneda 6 2 5 3" xfId="1793"/>
    <cellStyle name="Moneda 6 2 6" xfId="691"/>
    <cellStyle name="Moneda 6 2 6 2" xfId="1951"/>
    <cellStyle name="Moneda 6 2 7" xfId="1321"/>
    <cellStyle name="Moneda 6 3" xfId="86"/>
    <cellStyle name="Moneda 6 3 2" xfId="164"/>
    <cellStyle name="Moneda 6 3 2 2" xfId="320"/>
    <cellStyle name="Moneda 6 3 2 2 2" xfId="951"/>
    <cellStyle name="Moneda 6 3 2 2 2 2" xfId="2211"/>
    <cellStyle name="Moneda 6 3 2 2 3" xfId="1581"/>
    <cellStyle name="Moneda 6 3 2 3" xfId="479"/>
    <cellStyle name="Moneda 6 3 2 3 2" xfId="1109"/>
    <cellStyle name="Moneda 6 3 2 3 2 2" xfId="2369"/>
    <cellStyle name="Moneda 6 3 2 3 3" xfId="1739"/>
    <cellStyle name="Moneda 6 3 2 4" xfId="637"/>
    <cellStyle name="Moneda 6 3 2 4 2" xfId="1267"/>
    <cellStyle name="Moneda 6 3 2 4 2 2" xfId="2527"/>
    <cellStyle name="Moneda 6 3 2 4 3" xfId="1897"/>
    <cellStyle name="Moneda 6 3 2 5" xfId="795"/>
    <cellStyle name="Moneda 6 3 2 5 2" xfId="2055"/>
    <cellStyle name="Moneda 6 3 2 6" xfId="1425"/>
    <cellStyle name="Moneda 6 3 3" xfId="242"/>
    <cellStyle name="Moneda 6 3 3 2" xfId="873"/>
    <cellStyle name="Moneda 6 3 3 2 2" xfId="2133"/>
    <cellStyle name="Moneda 6 3 3 3" xfId="1503"/>
    <cellStyle name="Moneda 6 3 4" xfId="401"/>
    <cellStyle name="Moneda 6 3 4 2" xfId="1031"/>
    <cellStyle name="Moneda 6 3 4 2 2" xfId="2291"/>
    <cellStyle name="Moneda 6 3 4 3" xfId="1661"/>
    <cellStyle name="Moneda 6 3 5" xfId="559"/>
    <cellStyle name="Moneda 6 3 5 2" xfId="1189"/>
    <cellStyle name="Moneda 6 3 5 2 2" xfId="2449"/>
    <cellStyle name="Moneda 6 3 5 3" xfId="1819"/>
    <cellStyle name="Moneda 6 3 6" xfId="717"/>
    <cellStyle name="Moneda 6 3 6 2" xfId="1977"/>
    <cellStyle name="Moneda 6 3 7" xfId="1347"/>
    <cellStyle name="Moneda 6 4" xfId="112"/>
    <cellStyle name="Moneda 6 4 2" xfId="268"/>
    <cellStyle name="Moneda 6 4 2 2" xfId="899"/>
    <cellStyle name="Moneda 6 4 2 2 2" xfId="2159"/>
    <cellStyle name="Moneda 6 4 2 3" xfId="1529"/>
    <cellStyle name="Moneda 6 4 3" xfId="427"/>
    <cellStyle name="Moneda 6 4 3 2" xfId="1057"/>
    <cellStyle name="Moneda 6 4 3 2 2" xfId="2317"/>
    <cellStyle name="Moneda 6 4 3 3" xfId="1687"/>
    <cellStyle name="Moneda 6 4 4" xfId="585"/>
    <cellStyle name="Moneda 6 4 4 2" xfId="1215"/>
    <cellStyle name="Moneda 6 4 4 2 2" xfId="2475"/>
    <cellStyle name="Moneda 6 4 4 3" xfId="1845"/>
    <cellStyle name="Moneda 6 4 5" xfId="743"/>
    <cellStyle name="Moneda 6 4 5 2" xfId="2003"/>
    <cellStyle name="Moneda 6 4 6" xfId="1373"/>
    <cellStyle name="Moneda 6 5" xfId="190"/>
    <cellStyle name="Moneda 6 5 2" xfId="821"/>
    <cellStyle name="Moneda 6 5 2 2" xfId="2081"/>
    <cellStyle name="Moneda 6 5 3" xfId="1451"/>
    <cellStyle name="Moneda 6 6" xfId="349"/>
    <cellStyle name="Moneda 6 6 2" xfId="979"/>
    <cellStyle name="Moneda 6 6 2 2" xfId="2239"/>
    <cellStyle name="Moneda 6 6 3" xfId="1609"/>
    <cellStyle name="Moneda 6 7" xfId="507"/>
    <cellStyle name="Moneda 6 7 2" xfId="1137"/>
    <cellStyle name="Moneda 6 7 2 2" xfId="2397"/>
    <cellStyle name="Moneda 6 7 3" xfId="1767"/>
    <cellStyle name="Moneda 6 8" xfId="665"/>
    <cellStyle name="Moneda 6 8 2" xfId="1925"/>
    <cellStyle name="Moneda 6 9" xfId="1295"/>
    <cellStyle name="Moneda 7" xfId="22"/>
    <cellStyle name="Moneda 7 2" xfId="65"/>
    <cellStyle name="Moneda 7 2 2" xfId="143"/>
    <cellStyle name="Moneda 7 2 2 2" xfId="299"/>
    <cellStyle name="Moneda 7 2 2 2 2" xfId="930"/>
    <cellStyle name="Moneda 7 2 2 2 2 2" xfId="2190"/>
    <cellStyle name="Moneda 7 2 2 2 3" xfId="1560"/>
    <cellStyle name="Moneda 7 2 2 3" xfId="458"/>
    <cellStyle name="Moneda 7 2 2 3 2" xfId="1088"/>
    <cellStyle name="Moneda 7 2 2 3 2 2" xfId="2348"/>
    <cellStyle name="Moneda 7 2 2 3 3" xfId="1718"/>
    <cellStyle name="Moneda 7 2 2 4" xfId="616"/>
    <cellStyle name="Moneda 7 2 2 4 2" xfId="1246"/>
    <cellStyle name="Moneda 7 2 2 4 2 2" xfId="2506"/>
    <cellStyle name="Moneda 7 2 2 4 3" xfId="1876"/>
    <cellStyle name="Moneda 7 2 2 5" xfId="774"/>
    <cellStyle name="Moneda 7 2 2 5 2" xfId="2034"/>
    <cellStyle name="Moneda 7 2 2 6" xfId="1404"/>
    <cellStyle name="Moneda 7 2 3" xfId="221"/>
    <cellStyle name="Moneda 7 2 3 2" xfId="852"/>
    <cellStyle name="Moneda 7 2 3 2 2" xfId="2112"/>
    <cellStyle name="Moneda 7 2 3 3" xfId="1482"/>
    <cellStyle name="Moneda 7 2 4" xfId="380"/>
    <cellStyle name="Moneda 7 2 4 2" xfId="1010"/>
    <cellStyle name="Moneda 7 2 4 2 2" xfId="2270"/>
    <cellStyle name="Moneda 7 2 4 3" xfId="1640"/>
    <cellStyle name="Moneda 7 2 5" xfId="538"/>
    <cellStyle name="Moneda 7 2 5 2" xfId="1168"/>
    <cellStyle name="Moneda 7 2 5 2 2" xfId="2428"/>
    <cellStyle name="Moneda 7 2 5 3" xfId="1798"/>
    <cellStyle name="Moneda 7 2 6" xfId="696"/>
    <cellStyle name="Moneda 7 2 6 2" xfId="1956"/>
    <cellStyle name="Moneda 7 2 7" xfId="1326"/>
    <cellStyle name="Moneda 7 3" xfId="91"/>
    <cellStyle name="Moneda 7 3 2" xfId="169"/>
    <cellStyle name="Moneda 7 3 2 2" xfId="325"/>
    <cellStyle name="Moneda 7 3 2 2 2" xfId="956"/>
    <cellStyle name="Moneda 7 3 2 2 2 2" xfId="2216"/>
    <cellStyle name="Moneda 7 3 2 2 3" xfId="1586"/>
    <cellStyle name="Moneda 7 3 2 3" xfId="484"/>
    <cellStyle name="Moneda 7 3 2 3 2" xfId="1114"/>
    <cellStyle name="Moneda 7 3 2 3 2 2" xfId="2374"/>
    <cellStyle name="Moneda 7 3 2 3 3" xfId="1744"/>
    <cellStyle name="Moneda 7 3 2 4" xfId="642"/>
    <cellStyle name="Moneda 7 3 2 4 2" xfId="1272"/>
    <cellStyle name="Moneda 7 3 2 4 2 2" xfId="2532"/>
    <cellStyle name="Moneda 7 3 2 4 3" xfId="1902"/>
    <cellStyle name="Moneda 7 3 2 5" xfId="800"/>
    <cellStyle name="Moneda 7 3 2 5 2" xfId="2060"/>
    <cellStyle name="Moneda 7 3 2 6" xfId="1430"/>
    <cellStyle name="Moneda 7 3 3" xfId="247"/>
    <cellStyle name="Moneda 7 3 3 2" xfId="878"/>
    <cellStyle name="Moneda 7 3 3 2 2" xfId="2138"/>
    <cellStyle name="Moneda 7 3 3 3" xfId="1508"/>
    <cellStyle name="Moneda 7 3 4" xfId="406"/>
    <cellStyle name="Moneda 7 3 4 2" xfId="1036"/>
    <cellStyle name="Moneda 7 3 4 2 2" xfId="2296"/>
    <cellStyle name="Moneda 7 3 4 3" xfId="1666"/>
    <cellStyle name="Moneda 7 3 5" xfId="564"/>
    <cellStyle name="Moneda 7 3 5 2" xfId="1194"/>
    <cellStyle name="Moneda 7 3 5 2 2" xfId="2562"/>
    <cellStyle name="Moneda 7 3 5 2 3" xfId="2454"/>
    <cellStyle name="Moneda 7 3 5 3" xfId="1824"/>
    <cellStyle name="Moneda 7 3 6" xfId="722"/>
    <cellStyle name="Moneda 7 3 6 2" xfId="1982"/>
    <cellStyle name="Moneda 7 3 7" xfId="1352"/>
    <cellStyle name="Moneda 7 4" xfId="117"/>
    <cellStyle name="Moneda 7 4 2" xfId="273"/>
    <cellStyle name="Moneda 7 4 2 2" xfId="904"/>
    <cellStyle name="Moneda 7 4 2 2 2" xfId="2164"/>
    <cellStyle name="Moneda 7 4 2 3" xfId="1534"/>
    <cellStyle name="Moneda 7 4 3" xfId="432"/>
    <cellStyle name="Moneda 7 4 3 2" xfId="1062"/>
    <cellStyle name="Moneda 7 4 3 2 2" xfId="2322"/>
    <cellStyle name="Moneda 7 4 3 3" xfId="1692"/>
    <cellStyle name="Moneda 7 4 4" xfId="590"/>
    <cellStyle name="Moneda 7 4 4 2" xfId="1220"/>
    <cellStyle name="Moneda 7 4 4 2 2" xfId="2480"/>
    <cellStyle name="Moneda 7 4 4 3" xfId="1850"/>
    <cellStyle name="Moneda 7 4 5" xfId="748"/>
    <cellStyle name="Moneda 7 4 5 2" xfId="2008"/>
    <cellStyle name="Moneda 7 4 6" xfId="1378"/>
    <cellStyle name="Moneda 7 5" xfId="195"/>
    <cellStyle name="Moneda 7 5 2" xfId="826"/>
    <cellStyle name="Moneda 7 5 2 2" xfId="2086"/>
    <cellStyle name="Moneda 7 5 3" xfId="1456"/>
    <cellStyle name="Moneda 7 6" xfId="354"/>
    <cellStyle name="Moneda 7 6 2" xfId="984"/>
    <cellStyle name="Moneda 7 6 2 2" xfId="2244"/>
    <cellStyle name="Moneda 7 6 3" xfId="1614"/>
    <cellStyle name="Moneda 7 7" xfId="512"/>
    <cellStyle name="Moneda 7 7 2" xfId="1142"/>
    <cellStyle name="Moneda 7 7 2 2" xfId="2402"/>
    <cellStyle name="Moneda 7 7 3" xfId="1772"/>
    <cellStyle name="Moneda 7 8" xfId="670"/>
    <cellStyle name="Moneda 7 8 2" xfId="1930"/>
    <cellStyle name="Moneda 7 9" xfId="1300"/>
    <cellStyle name="Moneda 8" xfId="12"/>
    <cellStyle name="Moneda 8 2" xfId="56"/>
    <cellStyle name="Moneda 8 2 2" xfId="134"/>
    <cellStyle name="Moneda 8 2 2 2" xfId="290"/>
    <cellStyle name="Moneda 8 2 2 2 2" xfId="921"/>
    <cellStyle name="Moneda 8 2 2 2 2 2" xfId="2181"/>
    <cellStyle name="Moneda 8 2 2 2 3" xfId="1551"/>
    <cellStyle name="Moneda 8 2 2 3" xfId="449"/>
    <cellStyle name="Moneda 8 2 2 3 2" xfId="1079"/>
    <cellStyle name="Moneda 8 2 2 3 2 2" xfId="2339"/>
    <cellStyle name="Moneda 8 2 2 3 3" xfId="1709"/>
    <cellStyle name="Moneda 8 2 2 4" xfId="607"/>
    <cellStyle name="Moneda 8 2 2 4 2" xfId="1237"/>
    <cellStyle name="Moneda 8 2 2 4 2 2" xfId="2497"/>
    <cellStyle name="Moneda 8 2 2 4 3" xfId="1867"/>
    <cellStyle name="Moneda 8 2 2 5" xfId="765"/>
    <cellStyle name="Moneda 8 2 2 5 2" xfId="2025"/>
    <cellStyle name="Moneda 8 2 2 6" xfId="1395"/>
    <cellStyle name="Moneda 8 2 3" xfId="212"/>
    <cellStyle name="Moneda 8 2 3 2" xfId="843"/>
    <cellStyle name="Moneda 8 2 3 2 2" xfId="2103"/>
    <cellStyle name="Moneda 8 2 3 3" xfId="1473"/>
    <cellStyle name="Moneda 8 2 4" xfId="371"/>
    <cellStyle name="Moneda 8 2 4 2" xfId="1001"/>
    <cellStyle name="Moneda 8 2 4 2 2" xfId="2261"/>
    <cellStyle name="Moneda 8 2 4 3" xfId="1631"/>
    <cellStyle name="Moneda 8 2 5" xfId="529"/>
    <cellStyle name="Moneda 8 2 5 2" xfId="1159"/>
    <cellStyle name="Moneda 8 2 5 2 2" xfId="2419"/>
    <cellStyle name="Moneda 8 2 5 3" xfId="1789"/>
    <cellStyle name="Moneda 8 2 6" xfId="687"/>
    <cellStyle name="Moneda 8 2 6 2" xfId="1947"/>
    <cellStyle name="Moneda 8 2 7" xfId="1317"/>
    <cellStyle name="Moneda 8 3" xfId="82"/>
    <cellStyle name="Moneda 8 3 2" xfId="160"/>
    <cellStyle name="Moneda 8 3 2 2" xfId="316"/>
    <cellStyle name="Moneda 8 3 2 2 2" xfId="947"/>
    <cellStyle name="Moneda 8 3 2 2 2 2" xfId="2207"/>
    <cellStyle name="Moneda 8 3 2 2 3" xfId="1577"/>
    <cellStyle name="Moneda 8 3 2 3" xfId="475"/>
    <cellStyle name="Moneda 8 3 2 3 2" xfId="1105"/>
    <cellStyle name="Moneda 8 3 2 3 2 2" xfId="2365"/>
    <cellStyle name="Moneda 8 3 2 3 3" xfId="1735"/>
    <cellStyle name="Moneda 8 3 2 4" xfId="633"/>
    <cellStyle name="Moneda 8 3 2 4 2" xfId="1263"/>
    <cellStyle name="Moneda 8 3 2 4 2 2" xfId="2523"/>
    <cellStyle name="Moneda 8 3 2 4 3" xfId="1893"/>
    <cellStyle name="Moneda 8 3 2 5" xfId="791"/>
    <cellStyle name="Moneda 8 3 2 5 2" xfId="2051"/>
    <cellStyle name="Moneda 8 3 2 6" xfId="1421"/>
    <cellStyle name="Moneda 8 3 3" xfId="238"/>
    <cellStyle name="Moneda 8 3 3 2" xfId="869"/>
    <cellStyle name="Moneda 8 3 3 2 2" xfId="2129"/>
    <cellStyle name="Moneda 8 3 3 3" xfId="1499"/>
    <cellStyle name="Moneda 8 3 4" xfId="397"/>
    <cellStyle name="Moneda 8 3 4 2" xfId="1027"/>
    <cellStyle name="Moneda 8 3 4 2 2" xfId="2287"/>
    <cellStyle name="Moneda 8 3 4 3" xfId="1657"/>
    <cellStyle name="Moneda 8 3 5" xfId="555"/>
    <cellStyle name="Moneda 8 3 5 2" xfId="1185"/>
    <cellStyle name="Moneda 8 3 5 2 2" xfId="2445"/>
    <cellStyle name="Moneda 8 3 5 3" xfId="1815"/>
    <cellStyle name="Moneda 8 3 6" xfId="713"/>
    <cellStyle name="Moneda 8 3 6 2" xfId="1973"/>
    <cellStyle name="Moneda 8 3 7" xfId="1343"/>
    <cellStyle name="Moneda 8 4" xfId="108"/>
    <cellStyle name="Moneda 8 4 2" xfId="264"/>
    <cellStyle name="Moneda 8 4 2 2" xfId="895"/>
    <cellStyle name="Moneda 8 4 2 2 2" xfId="2155"/>
    <cellStyle name="Moneda 8 4 2 3" xfId="1525"/>
    <cellStyle name="Moneda 8 4 3" xfId="423"/>
    <cellStyle name="Moneda 8 4 3 2" xfId="1053"/>
    <cellStyle name="Moneda 8 4 3 2 2" xfId="2313"/>
    <cellStyle name="Moneda 8 4 3 3" xfId="1683"/>
    <cellStyle name="Moneda 8 4 4" xfId="581"/>
    <cellStyle name="Moneda 8 4 4 2" xfId="1211"/>
    <cellStyle name="Moneda 8 4 4 2 2" xfId="2471"/>
    <cellStyle name="Moneda 8 4 4 3" xfId="1841"/>
    <cellStyle name="Moneda 8 4 5" xfId="739"/>
    <cellStyle name="Moneda 8 4 5 2" xfId="1999"/>
    <cellStyle name="Moneda 8 4 6" xfId="1369"/>
    <cellStyle name="Moneda 8 5" xfId="186"/>
    <cellStyle name="Moneda 8 5 2" xfId="817"/>
    <cellStyle name="Moneda 8 5 2 2" xfId="2077"/>
    <cellStyle name="Moneda 8 5 3" xfId="1447"/>
    <cellStyle name="Moneda 8 6" xfId="345"/>
    <cellStyle name="Moneda 8 6 2" xfId="975"/>
    <cellStyle name="Moneda 8 6 2 2" xfId="2235"/>
    <cellStyle name="Moneda 8 6 3" xfId="1605"/>
    <cellStyle name="Moneda 8 7" xfId="503"/>
    <cellStyle name="Moneda 8 7 2" xfId="1133"/>
    <cellStyle name="Moneda 8 7 2 2" xfId="2393"/>
    <cellStyle name="Moneda 8 7 3" xfId="1763"/>
    <cellStyle name="Moneda 8 8" xfId="661"/>
    <cellStyle name="Moneda 8 8 2" xfId="1921"/>
    <cellStyle name="Moneda 8 9" xfId="1291"/>
    <cellStyle name="Moneda 9" xfId="13"/>
    <cellStyle name="Moneda 9 2" xfId="57"/>
    <cellStyle name="Moneda 9 2 2" xfId="135"/>
    <cellStyle name="Moneda 9 2 2 2" xfId="291"/>
    <cellStyle name="Moneda 9 2 2 2 2" xfId="922"/>
    <cellStyle name="Moneda 9 2 2 2 2 2" xfId="2182"/>
    <cellStyle name="Moneda 9 2 2 2 3" xfId="1552"/>
    <cellStyle name="Moneda 9 2 2 3" xfId="450"/>
    <cellStyle name="Moneda 9 2 2 3 2" xfId="1080"/>
    <cellStyle name="Moneda 9 2 2 3 2 2" xfId="2340"/>
    <cellStyle name="Moneda 9 2 2 3 3" xfId="1710"/>
    <cellStyle name="Moneda 9 2 2 4" xfId="608"/>
    <cellStyle name="Moneda 9 2 2 4 2" xfId="1238"/>
    <cellStyle name="Moneda 9 2 2 4 2 2" xfId="2498"/>
    <cellStyle name="Moneda 9 2 2 4 3" xfId="1868"/>
    <cellStyle name="Moneda 9 2 2 5" xfId="766"/>
    <cellStyle name="Moneda 9 2 2 5 2" xfId="2026"/>
    <cellStyle name="Moneda 9 2 2 6" xfId="1396"/>
    <cellStyle name="Moneda 9 2 3" xfId="213"/>
    <cellStyle name="Moneda 9 2 3 2" xfId="844"/>
    <cellStyle name="Moneda 9 2 3 2 2" xfId="2104"/>
    <cellStyle name="Moneda 9 2 3 3" xfId="1474"/>
    <cellStyle name="Moneda 9 2 4" xfId="372"/>
    <cellStyle name="Moneda 9 2 4 2" xfId="1002"/>
    <cellStyle name="Moneda 9 2 4 2 2" xfId="2262"/>
    <cellStyle name="Moneda 9 2 4 3" xfId="1632"/>
    <cellStyle name="Moneda 9 2 5" xfId="530"/>
    <cellStyle name="Moneda 9 2 5 2" xfId="1160"/>
    <cellStyle name="Moneda 9 2 5 2 2" xfId="2420"/>
    <cellStyle name="Moneda 9 2 5 3" xfId="1790"/>
    <cellStyle name="Moneda 9 2 6" xfId="688"/>
    <cellStyle name="Moneda 9 2 6 2" xfId="1948"/>
    <cellStyle name="Moneda 9 2 7" xfId="1318"/>
    <cellStyle name="Moneda 9 3" xfId="83"/>
    <cellStyle name="Moneda 9 3 2" xfId="161"/>
    <cellStyle name="Moneda 9 3 2 2" xfId="317"/>
    <cellStyle name="Moneda 9 3 2 2 2" xfId="948"/>
    <cellStyle name="Moneda 9 3 2 2 2 2" xfId="2208"/>
    <cellStyle name="Moneda 9 3 2 2 3" xfId="1578"/>
    <cellStyle name="Moneda 9 3 2 3" xfId="476"/>
    <cellStyle name="Moneda 9 3 2 3 2" xfId="1106"/>
    <cellStyle name="Moneda 9 3 2 3 2 2" xfId="2366"/>
    <cellStyle name="Moneda 9 3 2 3 3" xfId="1736"/>
    <cellStyle name="Moneda 9 3 2 4" xfId="634"/>
    <cellStyle name="Moneda 9 3 2 4 2" xfId="1264"/>
    <cellStyle name="Moneda 9 3 2 4 2 2" xfId="2524"/>
    <cellStyle name="Moneda 9 3 2 4 3" xfId="1894"/>
    <cellStyle name="Moneda 9 3 2 5" xfId="792"/>
    <cellStyle name="Moneda 9 3 2 5 2" xfId="2052"/>
    <cellStyle name="Moneda 9 3 2 6" xfId="1422"/>
    <cellStyle name="Moneda 9 3 3" xfId="239"/>
    <cellStyle name="Moneda 9 3 3 2" xfId="870"/>
    <cellStyle name="Moneda 9 3 3 2 2" xfId="2130"/>
    <cellStyle name="Moneda 9 3 3 3" xfId="1500"/>
    <cellStyle name="Moneda 9 3 4" xfId="398"/>
    <cellStyle name="Moneda 9 3 4 2" xfId="1028"/>
    <cellStyle name="Moneda 9 3 4 2 2" xfId="2288"/>
    <cellStyle name="Moneda 9 3 4 3" xfId="1658"/>
    <cellStyle name="Moneda 9 3 5" xfId="556"/>
    <cellStyle name="Moneda 9 3 5 2" xfId="1186"/>
    <cellStyle name="Moneda 9 3 5 2 2" xfId="2446"/>
    <cellStyle name="Moneda 9 3 5 3" xfId="1816"/>
    <cellStyle name="Moneda 9 3 6" xfId="714"/>
    <cellStyle name="Moneda 9 3 6 2" xfId="1974"/>
    <cellStyle name="Moneda 9 3 7" xfId="1344"/>
    <cellStyle name="Moneda 9 4" xfId="109"/>
    <cellStyle name="Moneda 9 4 2" xfId="265"/>
    <cellStyle name="Moneda 9 4 2 2" xfId="896"/>
    <cellStyle name="Moneda 9 4 2 2 2" xfId="2156"/>
    <cellStyle name="Moneda 9 4 2 3" xfId="1526"/>
    <cellStyle name="Moneda 9 4 3" xfId="424"/>
    <cellStyle name="Moneda 9 4 3 2" xfId="1054"/>
    <cellStyle name="Moneda 9 4 3 2 2" xfId="2314"/>
    <cellStyle name="Moneda 9 4 3 3" xfId="1684"/>
    <cellStyle name="Moneda 9 4 4" xfId="582"/>
    <cellStyle name="Moneda 9 4 4 2" xfId="1212"/>
    <cellStyle name="Moneda 9 4 4 2 2" xfId="2472"/>
    <cellStyle name="Moneda 9 4 4 3" xfId="1842"/>
    <cellStyle name="Moneda 9 4 5" xfId="740"/>
    <cellStyle name="Moneda 9 4 5 2" xfId="2000"/>
    <cellStyle name="Moneda 9 4 6" xfId="1370"/>
    <cellStyle name="Moneda 9 5" xfId="187"/>
    <cellStyle name="Moneda 9 5 2" xfId="818"/>
    <cellStyle name="Moneda 9 5 2 2" xfId="2078"/>
    <cellStyle name="Moneda 9 5 3" xfId="1448"/>
    <cellStyle name="Moneda 9 6" xfId="346"/>
    <cellStyle name="Moneda 9 6 2" xfId="976"/>
    <cellStyle name="Moneda 9 6 2 2" xfId="2236"/>
    <cellStyle name="Moneda 9 6 3" xfId="1606"/>
    <cellStyle name="Moneda 9 7" xfId="504"/>
    <cellStyle name="Moneda 9 7 2" xfId="1134"/>
    <cellStyle name="Moneda 9 7 2 2" xfId="2394"/>
    <cellStyle name="Moneda 9 7 3" xfId="1764"/>
    <cellStyle name="Moneda 9 8" xfId="662"/>
    <cellStyle name="Moneda 9 8 2" xfId="1922"/>
    <cellStyle name="Moneda 9 9" xfId="1292"/>
    <cellStyle name="Normal" xfId="0" builtinId="0"/>
    <cellStyle name="Normal 10" xfId="2557"/>
    <cellStyle name="Normal 2" xfId="8"/>
    <cellStyle name="Normal 2 10" xfId="341"/>
    <cellStyle name="Normal 2 10 2" xfId="971"/>
    <cellStyle name="Normal 2 10 2 2" xfId="2231"/>
    <cellStyle name="Normal 2 10 3" xfId="1601"/>
    <cellStyle name="Normal 2 11" xfId="499"/>
    <cellStyle name="Normal 2 11 2" xfId="1129"/>
    <cellStyle name="Normal 2 11 2 2" xfId="2389"/>
    <cellStyle name="Normal 2 11 3" xfId="1759"/>
    <cellStyle name="Normal 2 12" xfId="657"/>
    <cellStyle name="Normal 2 12 2" xfId="1917"/>
    <cellStyle name="Normal 2 13" xfId="1287"/>
    <cellStyle name="Normal 2 2" xfId="41"/>
    <cellStyle name="Normal 2 3" xfId="42"/>
    <cellStyle name="Normal 2 4" xfId="40"/>
    <cellStyle name="Normal 2 4 2" xfId="71"/>
    <cellStyle name="Normal 2 4 2 2" xfId="149"/>
    <cellStyle name="Normal 2 4 2 2 2" xfId="305"/>
    <cellStyle name="Normal 2 4 2 2 2 2" xfId="936"/>
    <cellStyle name="Normal 2 4 2 2 2 2 2" xfId="2196"/>
    <cellStyle name="Normal 2 4 2 2 2 3" xfId="1566"/>
    <cellStyle name="Normal 2 4 2 2 3" xfId="464"/>
    <cellStyle name="Normal 2 4 2 2 3 2" xfId="1094"/>
    <cellStyle name="Normal 2 4 2 2 3 2 2" xfId="2354"/>
    <cellStyle name="Normal 2 4 2 2 3 3" xfId="1724"/>
    <cellStyle name="Normal 2 4 2 2 4" xfId="622"/>
    <cellStyle name="Normal 2 4 2 2 4 2" xfId="1252"/>
    <cellStyle name="Normal 2 4 2 2 4 2 2" xfId="2512"/>
    <cellStyle name="Normal 2 4 2 2 4 3" xfId="1882"/>
    <cellStyle name="Normal 2 4 2 2 5" xfId="780"/>
    <cellStyle name="Normal 2 4 2 2 5 2" xfId="2040"/>
    <cellStyle name="Normal 2 4 2 2 6" xfId="1410"/>
    <cellStyle name="Normal 2 4 2 3" xfId="227"/>
    <cellStyle name="Normal 2 4 2 3 2" xfId="858"/>
    <cellStyle name="Normal 2 4 2 3 2 2" xfId="2118"/>
    <cellStyle name="Normal 2 4 2 3 3" xfId="1488"/>
    <cellStyle name="Normal 2 4 2 4" xfId="386"/>
    <cellStyle name="Normal 2 4 2 4 2" xfId="1016"/>
    <cellStyle name="Normal 2 4 2 4 2 2" xfId="2276"/>
    <cellStyle name="Normal 2 4 2 4 3" xfId="1646"/>
    <cellStyle name="Normal 2 4 2 5" xfId="544"/>
    <cellStyle name="Normal 2 4 2 5 2" xfId="1174"/>
    <cellStyle name="Normal 2 4 2 5 2 2" xfId="2434"/>
    <cellStyle name="Normal 2 4 2 5 3" xfId="1804"/>
    <cellStyle name="Normal 2 4 2 6" xfId="702"/>
    <cellStyle name="Normal 2 4 2 6 2" xfId="1962"/>
    <cellStyle name="Normal 2 4 2 7" xfId="1332"/>
    <cellStyle name="Normal 2 4 3" xfId="97"/>
    <cellStyle name="Normal 2 4 3 2" xfId="175"/>
    <cellStyle name="Normal 2 4 3 2 2" xfId="331"/>
    <cellStyle name="Normal 2 4 3 2 2 2" xfId="962"/>
    <cellStyle name="Normal 2 4 3 2 2 2 2" xfId="2222"/>
    <cellStyle name="Normal 2 4 3 2 2 3" xfId="1592"/>
    <cellStyle name="Normal 2 4 3 2 3" xfId="490"/>
    <cellStyle name="Normal 2 4 3 2 3 2" xfId="1120"/>
    <cellStyle name="Normal 2 4 3 2 3 2 2" xfId="2380"/>
    <cellStyle name="Normal 2 4 3 2 3 3" xfId="1750"/>
    <cellStyle name="Normal 2 4 3 2 4" xfId="648"/>
    <cellStyle name="Normal 2 4 3 2 4 2" xfId="1278"/>
    <cellStyle name="Normal 2 4 3 2 4 2 2" xfId="2538"/>
    <cellStyle name="Normal 2 4 3 2 4 3" xfId="1908"/>
    <cellStyle name="Normal 2 4 3 2 5" xfId="806"/>
    <cellStyle name="Normal 2 4 3 2 5 2" xfId="2066"/>
    <cellStyle name="Normal 2 4 3 2 6" xfId="1436"/>
    <cellStyle name="Normal 2 4 3 3" xfId="253"/>
    <cellStyle name="Normal 2 4 3 3 2" xfId="884"/>
    <cellStyle name="Normal 2 4 3 3 2 2" xfId="2144"/>
    <cellStyle name="Normal 2 4 3 3 3" xfId="1514"/>
    <cellStyle name="Normal 2 4 3 4" xfId="412"/>
    <cellStyle name="Normal 2 4 3 4 2" xfId="1042"/>
    <cellStyle name="Normal 2 4 3 4 2 2" xfId="2302"/>
    <cellStyle name="Normal 2 4 3 4 3" xfId="1672"/>
    <cellStyle name="Normal 2 4 3 5" xfId="570"/>
    <cellStyle name="Normal 2 4 3 5 2" xfId="1200"/>
    <cellStyle name="Normal 2 4 3 5 2 2" xfId="2460"/>
    <cellStyle name="Normal 2 4 3 5 3" xfId="1830"/>
    <cellStyle name="Normal 2 4 3 6" xfId="728"/>
    <cellStyle name="Normal 2 4 3 6 2" xfId="1988"/>
    <cellStyle name="Normal 2 4 3 7" xfId="1358"/>
    <cellStyle name="Normal 2 4 4" xfId="123"/>
    <cellStyle name="Normal 2 4 4 2" xfId="279"/>
    <cellStyle name="Normal 2 4 4 2 2" xfId="910"/>
    <cellStyle name="Normal 2 4 4 2 2 2" xfId="2170"/>
    <cellStyle name="Normal 2 4 4 2 3" xfId="1540"/>
    <cellStyle name="Normal 2 4 4 3" xfId="438"/>
    <cellStyle name="Normal 2 4 4 3 2" xfId="1068"/>
    <cellStyle name="Normal 2 4 4 3 2 2" xfId="2328"/>
    <cellStyle name="Normal 2 4 4 3 3" xfId="1698"/>
    <cellStyle name="Normal 2 4 4 4" xfId="596"/>
    <cellStyle name="Normal 2 4 4 4 2" xfId="1226"/>
    <cellStyle name="Normal 2 4 4 4 2 2" xfId="2486"/>
    <cellStyle name="Normal 2 4 4 4 3" xfId="1856"/>
    <cellStyle name="Normal 2 4 4 5" xfId="754"/>
    <cellStyle name="Normal 2 4 4 5 2" xfId="2014"/>
    <cellStyle name="Normal 2 4 4 6" xfId="1384"/>
    <cellStyle name="Normal 2 4 5" xfId="201"/>
    <cellStyle name="Normal 2 4 5 2" xfId="832"/>
    <cellStyle name="Normal 2 4 5 2 2" xfId="2092"/>
    <cellStyle name="Normal 2 4 5 3" xfId="1462"/>
    <cellStyle name="Normal 2 4 6" xfId="360"/>
    <cellStyle name="Normal 2 4 6 2" xfId="990"/>
    <cellStyle name="Normal 2 4 6 2 2" xfId="2250"/>
    <cellStyle name="Normal 2 4 6 3" xfId="1620"/>
    <cellStyle name="Normal 2 4 7" xfId="518"/>
    <cellStyle name="Normal 2 4 7 2" xfId="1148"/>
    <cellStyle name="Normal 2 4 7 2 2" xfId="2408"/>
    <cellStyle name="Normal 2 4 7 3" xfId="1778"/>
    <cellStyle name="Normal 2 4 8" xfId="676"/>
    <cellStyle name="Normal 2 4 8 2" xfId="1936"/>
    <cellStyle name="Normal 2 4 9" xfId="1306"/>
    <cellStyle name="Normal 2 5" xfId="52"/>
    <cellStyle name="Normal 2 5 2" xfId="130"/>
    <cellStyle name="Normal 2 5 2 2" xfId="286"/>
    <cellStyle name="Normal 2 5 2 2 2" xfId="917"/>
    <cellStyle name="Normal 2 5 2 2 2 2" xfId="2177"/>
    <cellStyle name="Normal 2 5 2 2 3" xfId="1547"/>
    <cellStyle name="Normal 2 5 2 3" xfId="445"/>
    <cellStyle name="Normal 2 5 2 3 2" xfId="1075"/>
    <cellStyle name="Normal 2 5 2 3 2 2" xfId="2335"/>
    <cellStyle name="Normal 2 5 2 3 3" xfId="1705"/>
    <cellStyle name="Normal 2 5 2 4" xfId="603"/>
    <cellStyle name="Normal 2 5 2 4 2" xfId="1233"/>
    <cellStyle name="Normal 2 5 2 4 2 2" xfId="2493"/>
    <cellStyle name="Normal 2 5 2 4 3" xfId="1863"/>
    <cellStyle name="Normal 2 5 2 5" xfId="761"/>
    <cellStyle name="Normal 2 5 2 5 2" xfId="2021"/>
    <cellStyle name="Normal 2 5 2 6" xfId="1391"/>
    <cellStyle name="Normal 2 5 3" xfId="208"/>
    <cellStyle name="Normal 2 5 3 2" xfId="839"/>
    <cellStyle name="Normal 2 5 3 2 2" xfId="2099"/>
    <cellStyle name="Normal 2 5 3 3" xfId="1469"/>
    <cellStyle name="Normal 2 5 4" xfId="367"/>
    <cellStyle name="Normal 2 5 4 2" xfId="997"/>
    <cellStyle name="Normal 2 5 4 2 2" xfId="2257"/>
    <cellStyle name="Normal 2 5 4 3" xfId="1627"/>
    <cellStyle name="Normal 2 5 5" xfId="525"/>
    <cellStyle name="Normal 2 5 5 2" xfId="1155"/>
    <cellStyle name="Normal 2 5 5 2 2" xfId="2415"/>
    <cellStyle name="Normal 2 5 5 3" xfId="1785"/>
    <cellStyle name="Normal 2 5 6" xfId="683"/>
    <cellStyle name="Normal 2 5 6 2" xfId="1943"/>
    <cellStyle name="Normal 2 5 7" xfId="1313"/>
    <cellStyle name="Normal 2 6" xfId="78"/>
    <cellStyle name="Normal 2 6 2" xfId="156"/>
    <cellStyle name="Normal 2 6 2 2" xfId="312"/>
    <cellStyle name="Normal 2 6 2 2 2" xfId="943"/>
    <cellStyle name="Normal 2 6 2 2 2 2" xfId="2203"/>
    <cellStyle name="Normal 2 6 2 2 3" xfId="1573"/>
    <cellStyle name="Normal 2 6 2 3" xfId="471"/>
    <cellStyle name="Normal 2 6 2 3 2" xfId="1101"/>
    <cellStyle name="Normal 2 6 2 3 2 2" xfId="2361"/>
    <cellStyle name="Normal 2 6 2 3 3" xfId="1731"/>
    <cellStyle name="Normal 2 6 2 4" xfId="629"/>
    <cellStyle name="Normal 2 6 2 4 2" xfId="1259"/>
    <cellStyle name="Normal 2 6 2 4 2 2" xfId="2519"/>
    <cellStyle name="Normal 2 6 2 4 3" xfId="1889"/>
    <cellStyle name="Normal 2 6 2 5" xfId="787"/>
    <cellStyle name="Normal 2 6 2 5 2" xfId="2047"/>
    <cellStyle name="Normal 2 6 2 6" xfId="1417"/>
    <cellStyle name="Normal 2 6 3" xfId="234"/>
    <cellStyle name="Normal 2 6 3 2" xfId="865"/>
    <cellStyle name="Normal 2 6 3 2 2" xfId="2125"/>
    <cellStyle name="Normal 2 6 3 3" xfId="1495"/>
    <cellStyle name="Normal 2 6 4" xfId="393"/>
    <cellStyle name="Normal 2 6 4 2" xfId="1023"/>
    <cellStyle name="Normal 2 6 4 2 2" xfId="2283"/>
    <cellStyle name="Normal 2 6 4 3" xfId="1653"/>
    <cellStyle name="Normal 2 6 5" xfId="551"/>
    <cellStyle name="Normal 2 6 5 2" xfId="1181"/>
    <cellStyle name="Normal 2 6 5 2 2" xfId="2441"/>
    <cellStyle name="Normal 2 6 5 3" xfId="1811"/>
    <cellStyle name="Normal 2 6 6" xfId="709"/>
    <cellStyle name="Normal 2 6 6 2" xfId="1969"/>
    <cellStyle name="Normal 2 6 7" xfId="1339"/>
    <cellStyle name="Normal 2 7" xfId="104"/>
    <cellStyle name="Normal 2 7 2" xfId="260"/>
    <cellStyle name="Normal 2 7 2 2" xfId="891"/>
    <cellStyle name="Normal 2 7 2 2 2" xfId="2151"/>
    <cellStyle name="Normal 2 7 2 3" xfId="1521"/>
    <cellStyle name="Normal 2 7 3" xfId="419"/>
    <cellStyle name="Normal 2 7 3 2" xfId="1049"/>
    <cellStyle name="Normal 2 7 3 2 2" xfId="2309"/>
    <cellStyle name="Normal 2 7 3 3" xfId="1679"/>
    <cellStyle name="Normal 2 7 4" xfId="577"/>
    <cellStyle name="Normal 2 7 4 2" xfId="1207"/>
    <cellStyle name="Normal 2 7 4 2 2" xfId="2467"/>
    <cellStyle name="Normal 2 7 4 3" xfId="1837"/>
    <cellStyle name="Normal 2 7 5" xfId="735"/>
    <cellStyle name="Normal 2 7 5 2" xfId="1995"/>
    <cellStyle name="Normal 2 7 6" xfId="1365"/>
    <cellStyle name="Normal 2 8" xfId="337"/>
    <cellStyle name="Normal 2 9" xfId="182"/>
    <cellStyle name="Normal 2 9 2" xfId="813"/>
    <cellStyle name="Normal 2 9 2 2" xfId="2073"/>
    <cellStyle name="Normal 2 9 3" xfId="1443"/>
    <cellStyle name="Normal 3" xfId="9"/>
    <cellStyle name="Normal 3 10" xfId="658"/>
    <cellStyle name="Normal 3 10 2" xfId="1918"/>
    <cellStyle name="Normal 3 11" xfId="1288"/>
    <cellStyle name="Normal 3 2" xfId="44"/>
    <cellStyle name="Normal 3 2 10" xfId="1308"/>
    <cellStyle name="Normal 3 2 2" xfId="73"/>
    <cellStyle name="Normal 3 2 2 2" xfId="151"/>
    <cellStyle name="Normal 3 2 2 2 2" xfId="307"/>
    <cellStyle name="Normal 3 2 2 2 2 2" xfId="938"/>
    <cellStyle name="Normal 3 2 2 2 2 2 2" xfId="2198"/>
    <cellStyle name="Normal 3 2 2 2 2 3" xfId="1568"/>
    <cellStyle name="Normal 3 2 2 2 3" xfId="466"/>
    <cellStyle name="Normal 3 2 2 2 3 2" xfId="1096"/>
    <cellStyle name="Normal 3 2 2 2 3 2 2" xfId="2356"/>
    <cellStyle name="Normal 3 2 2 2 3 3" xfId="1726"/>
    <cellStyle name="Normal 3 2 2 2 4" xfId="624"/>
    <cellStyle name="Normal 3 2 2 2 4 2" xfId="1254"/>
    <cellStyle name="Normal 3 2 2 2 4 2 2" xfId="2514"/>
    <cellStyle name="Normal 3 2 2 2 4 3" xfId="1884"/>
    <cellStyle name="Normal 3 2 2 2 5" xfId="782"/>
    <cellStyle name="Normal 3 2 2 2 5 2" xfId="2042"/>
    <cellStyle name="Normal 3 2 2 2 6" xfId="1412"/>
    <cellStyle name="Normal 3 2 2 3" xfId="229"/>
    <cellStyle name="Normal 3 2 2 3 2" xfId="860"/>
    <cellStyle name="Normal 3 2 2 3 2 2" xfId="2120"/>
    <cellStyle name="Normal 3 2 2 3 3" xfId="1490"/>
    <cellStyle name="Normal 3 2 2 4" xfId="388"/>
    <cellStyle name="Normal 3 2 2 4 2" xfId="1018"/>
    <cellStyle name="Normal 3 2 2 4 2 2" xfId="2278"/>
    <cellStyle name="Normal 3 2 2 4 3" xfId="1648"/>
    <cellStyle name="Normal 3 2 2 5" xfId="546"/>
    <cellStyle name="Normal 3 2 2 5 2" xfId="1176"/>
    <cellStyle name="Normal 3 2 2 5 2 2" xfId="2436"/>
    <cellStyle name="Normal 3 2 2 5 3" xfId="1806"/>
    <cellStyle name="Normal 3 2 2 6" xfId="704"/>
    <cellStyle name="Normal 3 2 2 6 2" xfId="1964"/>
    <cellStyle name="Normal 3 2 2 7" xfId="1334"/>
    <cellStyle name="Normal 3 2 3" xfId="99"/>
    <cellStyle name="Normal 3 2 3 2" xfId="177"/>
    <cellStyle name="Normal 3 2 3 2 2" xfId="333"/>
    <cellStyle name="Normal 3 2 3 2 2 2" xfId="964"/>
    <cellStyle name="Normal 3 2 3 2 2 2 2" xfId="2224"/>
    <cellStyle name="Normal 3 2 3 2 2 3" xfId="1594"/>
    <cellStyle name="Normal 3 2 3 2 3" xfId="492"/>
    <cellStyle name="Normal 3 2 3 2 3 2" xfId="1122"/>
    <cellStyle name="Normal 3 2 3 2 3 2 2" xfId="2382"/>
    <cellStyle name="Normal 3 2 3 2 3 3" xfId="1752"/>
    <cellStyle name="Normal 3 2 3 2 4" xfId="650"/>
    <cellStyle name="Normal 3 2 3 2 4 2" xfId="1280"/>
    <cellStyle name="Normal 3 2 3 2 4 2 2" xfId="2540"/>
    <cellStyle name="Normal 3 2 3 2 4 3" xfId="1910"/>
    <cellStyle name="Normal 3 2 3 2 5" xfId="808"/>
    <cellStyle name="Normal 3 2 3 2 5 2" xfId="2068"/>
    <cellStyle name="Normal 3 2 3 2 6" xfId="1438"/>
    <cellStyle name="Normal 3 2 3 3" xfId="255"/>
    <cellStyle name="Normal 3 2 3 3 2" xfId="886"/>
    <cellStyle name="Normal 3 2 3 3 2 2" xfId="2146"/>
    <cellStyle name="Normal 3 2 3 3 3" xfId="1516"/>
    <cellStyle name="Normal 3 2 3 4" xfId="414"/>
    <cellStyle name="Normal 3 2 3 4 2" xfId="1044"/>
    <cellStyle name="Normal 3 2 3 4 2 2" xfId="2304"/>
    <cellStyle name="Normal 3 2 3 4 3" xfId="1674"/>
    <cellStyle name="Normal 3 2 3 5" xfId="572"/>
    <cellStyle name="Normal 3 2 3 5 2" xfId="1202"/>
    <cellStyle name="Normal 3 2 3 5 2 2" xfId="2462"/>
    <cellStyle name="Normal 3 2 3 5 3" xfId="1832"/>
    <cellStyle name="Normal 3 2 3 6" xfId="730"/>
    <cellStyle name="Normal 3 2 3 6 2" xfId="1990"/>
    <cellStyle name="Normal 3 2 3 7" xfId="1360"/>
    <cellStyle name="Normal 3 2 4" xfId="125"/>
    <cellStyle name="Normal 3 2 4 2" xfId="281"/>
    <cellStyle name="Normal 3 2 4 2 2" xfId="912"/>
    <cellStyle name="Normal 3 2 4 2 2 2" xfId="2172"/>
    <cellStyle name="Normal 3 2 4 2 3" xfId="1542"/>
    <cellStyle name="Normal 3 2 4 3" xfId="440"/>
    <cellStyle name="Normal 3 2 4 3 2" xfId="1070"/>
    <cellStyle name="Normal 3 2 4 3 2 2" xfId="2330"/>
    <cellStyle name="Normal 3 2 4 3 3" xfId="1700"/>
    <cellStyle name="Normal 3 2 4 4" xfId="598"/>
    <cellStyle name="Normal 3 2 4 4 2" xfId="1228"/>
    <cellStyle name="Normal 3 2 4 4 2 2" xfId="2488"/>
    <cellStyle name="Normal 3 2 4 4 3" xfId="1858"/>
    <cellStyle name="Normal 3 2 4 5" xfId="756"/>
    <cellStyle name="Normal 3 2 4 5 2" xfId="2016"/>
    <cellStyle name="Normal 3 2 4 6" xfId="1386"/>
    <cellStyle name="Normal 3 2 5" xfId="203"/>
    <cellStyle name="Normal 3 2 5 2" xfId="834"/>
    <cellStyle name="Normal 3 2 5 2 2" xfId="2094"/>
    <cellStyle name="Normal 3 2 5 3" xfId="1464"/>
    <cellStyle name="Normal 3 2 6" xfId="362"/>
    <cellStyle name="Normal 3 2 6 2" xfId="992"/>
    <cellStyle name="Normal 3 2 6 2 2" xfId="2252"/>
    <cellStyle name="Normal 3 2 6 3" xfId="1622"/>
    <cellStyle name="Normal 3 2 7" xfId="520"/>
    <cellStyle name="Normal 3 2 7 2" xfId="1150"/>
    <cellStyle name="Normal 3 2 7 2 2" xfId="2410"/>
    <cellStyle name="Normal 3 2 7 3" xfId="1780"/>
    <cellStyle name="Normal 3 2 8" xfId="678"/>
    <cellStyle name="Normal 3 2 8 2" xfId="1938"/>
    <cellStyle name="Normal 3 2 9" xfId="2544"/>
    <cellStyle name="Normal 3 3" xfId="43"/>
    <cellStyle name="Normal 3 3 2" xfId="72"/>
    <cellStyle name="Normal 3 3 2 2" xfId="150"/>
    <cellStyle name="Normal 3 3 2 2 2" xfId="306"/>
    <cellStyle name="Normal 3 3 2 2 2 2" xfId="937"/>
    <cellStyle name="Normal 3 3 2 2 2 2 2" xfId="2197"/>
    <cellStyle name="Normal 3 3 2 2 2 3" xfId="1567"/>
    <cellStyle name="Normal 3 3 2 2 3" xfId="465"/>
    <cellStyle name="Normal 3 3 2 2 3 2" xfId="1095"/>
    <cellStyle name="Normal 3 3 2 2 3 2 2" xfId="2355"/>
    <cellStyle name="Normal 3 3 2 2 3 3" xfId="1725"/>
    <cellStyle name="Normal 3 3 2 2 4" xfId="623"/>
    <cellStyle name="Normal 3 3 2 2 4 2" xfId="1253"/>
    <cellStyle name="Normal 3 3 2 2 4 2 2" xfId="2513"/>
    <cellStyle name="Normal 3 3 2 2 4 3" xfId="1883"/>
    <cellStyle name="Normal 3 3 2 2 5" xfId="781"/>
    <cellStyle name="Normal 3 3 2 2 5 2" xfId="2041"/>
    <cellStyle name="Normal 3 3 2 2 6" xfId="1411"/>
    <cellStyle name="Normal 3 3 2 3" xfId="228"/>
    <cellStyle name="Normal 3 3 2 3 2" xfId="859"/>
    <cellStyle name="Normal 3 3 2 3 2 2" xfId="2119"/>
    <cellStyle name="Normal 3 3 2 3 3" xfId="1489"/>
    <cellStyle name="Normal 3 3 2 4" xfId="387"/>
    <cellStyle name="Normal 3 3 2 4 2" xfId="1017"/>
    <cellStyle name="Normal 3 3 2 4 2 2" xfId="2277"/>
    <cellStyle name="Normal 3 3 2 4 3" xfId="1647"/>
    <cellStyle name="Normal 3 3 2 5" xfId="545"/>
    <cellStyle name="Normal 3 3 2 5 2" xfId="1175"/>
    <cellStyle name="Normal 3 3 2 5 2 2" xfId="2435"/>
    <cellStyle name="Normal 3 3 2 5 3" xfId="1805"/>
    <cellStyle name="Normal 3 3 2 6" xfId="703"/>
    <cellStyle name="Normal 3 3 2 6 2" xfId="1963"/>
    <cellStyle name="Normal 3 3 2 7" xfId="1333"/>
    <cellStyle name="Normal 3 3 3" xfId="98"/>
    <cellStyle name="Normal 3 3 3 2" xfId="176"/>
    <cellStyle name="Normal 3 3 3 2 2" xfId="332"/>
    <cellStyle name="Normal 3 3 3 2 2 2" xfId="963"/>
    <cellStyle name="Normal 3 3 3 2 2 2 2" xfId="2223"/>
    <cellStyle name="Normal 3 3 3 2 2 3" xfId="1593"/>
    <cellStyle name="Normal 3 3 3 2 3" xfId="491"/>
    <cellStyle name="Normal 3 3 3 2 3 2" xfId="1121"/>
    <cellStyle name="Normal 3 3 3 2 3 2 2" xfId="2381"/>
    <cellStyle name="Normal 3 3 3 2 3 3" xfId="1751"/>
    <cellStyle name="Normal 3 3 3 2 4" xfId="649"/>
    <cellStyle name="Normal 3 3 3 2 4 2" xfId="1279"/>
    <cellStyle name="Normal 3 3 3 2 4 2 2" xfId="2539"/>
    <cellStyle name="Normal 3 3 3 2 4 3" xfId="1909"/>
    <cellStyle name="Normal 3 3 3 2 5" xfId="807"/>
    <cellStyle name="Normal 3 3 3 2 5 2" xfId="2067"/>
    <cellStyle name="Normal 3 3 3 2 6" xfId="1437"/>
    <cellStyle name="Normal 3 3 3 3" xfId="254"/>
    <cellStyle name="Normal 3 3 3 3 2" xfId="885"/>
    <cellStyle name="Normal 3 3 3 3 2 2" xfId="2145"/>
    <cellStyle name="Normal 3 3 3 3 3" xfId="1515"/>
    <cellStyle name="Normal 3 3 3 4" xfId="413"/>
    <cellStyle name="Normal 3 3 3 4 2" xfId="1043"/>
    <cellStyle name="Normal 3 3 3 4 2 2" xfId="2303"/>
    <cellStyle name="Normal 3 3 3 4 3" xfId="1673"/>
    <cellStyle name="Normal 3 3 3 5" xfId="571"/>
    <cellStyle name="Normal 3 3 3 5 2" xfId="1201"/>
    <cellStyle name="Normal 3 3 3 5 2 2" xfId="2461"/>
    <cellStyle name="Normal 3 3 3 5 3" xfId="1831"/>
    <cellStyle name="Normal 3 3 3 6" xfId="729"/>
    <cellStyle name="Normal 3 3 3 6 2" xfId="1989"/>
    <cellStyle name="Normal 3 3 3 7" xfId="1359"/>
    <cellStyle name="Normal 3 3 4" xfId="124"/>
    <cellStyle name="Normal 3 3 4 2" xfId="280"/>
    <cellStyle name="Normal 3 3 4 2 2" xfId="911"/>
    <cellStyle name="Normal 3 3 4 2 2 2" xfId="2171"/>
    <cellStyle name="Normal 3 3 4 2 3" xfId="1541"/>
    <cellStyle name="Normal 3 3 4 3" xfId="439"/>
    <cellStyle name="Normal 3 3 4 3 2" xfId="1069"/>
    <cellStyle name="Normal 3 3 4 3 2 2" xfId="2329"/>
    <cellStyle name="Normal 3 3 4 3 3" xfId="1699"/>
    <cellStyle name="Normal 3 3 4 4" xfId="597"/>
    <cellStyle name="Normal 3 3 4 4 2" xfId="1227"/>
    <cellStyle name="Normal 3 3 4 4 2 2" xfId="2487"/>
    <cellStyle name="Normal 3 3 4 4 3" xfId="1857"/>
    <cellStyle name="Normal 3 3 4 5" xfId="755"/>
    <cellStyle name="Normal 3 3 4 5 2" xfId="2015"/>
    <cellStyle name="Normal 3 3 4 6" xfId="1385"/>
    <cellStyle name="Normal 3 3 5" xfId="202"/>
    <cellStyle name="Normal 3 3 5 2" xfId="833"/>
    <cellStyle name="Normal 3 3 5 2 2" xfId="2093"/>
    <cellStyle name="Normal 3 3 5 3" xfId="1463"/>
    <cellStyle name="Normal 3 3 6" xfId="361"/>
    <cellStyle name="Normal 3 3 6 2" xfId="991"/>
    <cellStyle name="Normal 3 3 6 2 2" xfId="2251"/>
    <cellStyle name="Normal 3 3 6 3" xfId="1621"/>
    <cellStyle name="Normal 3 3 7" xfId="519"/>
    <cellStyle name="Normal 3 3 7 2" xfId="1149"/>
    <cellStyle name="Normal 3 3 7 2 2" xfId="2409"/>
    <cellStyle name="Normal 3 3 7 3" xfId="1779"/>
    <cellStyle name="Normal 3 3 8" xfId="677"/>
    <cellStyle name="Normal 3 3 8 2" xfId="1937"/>
    <cellStyle name="Normal 3 3 9" xfId="1307"/>
    <cellStyle name="Normal 3 4" xfId="53"/>
    <cellStyle name="Normal 3 4 2" xfId="131"/>
    <cellStyle name="Normal 3 4 2 2" xfId="287"/>
    <cellStyle name="Normal 3 4 2 2 2" xfId="918"/>
    <cellStyle name="Normal 3 4 2 2 2 2" xfId="2178"/>
    <cellStyle name="Normal 3 4 2 2 3" xfId="1548"/>
    <cellStyle name="Normal 3 4 2 3" xfId="446"/>
    <cellStyle name="Normal 3 4 2 3 2" xfId="1076"/>
    <cellStyle name="Normal 3 4 2 3 2 2" xfId="2336"/>
    <cellStyle name="Normal 3 4 2 3 3" xfId="1706"/>
    <cellStyle name="Normal 3 4 2 4" xfId="604"/>
    <cellStyle name="Normal 3 4 2 4 2" xfId="1234"/>
    <cellStyle name="Normal 3 4 2 4 2 2" xfId="2494"/>
    <cellStyle name="Normal 3 4 2 4 3" xfId="1864"/>
    <cellStyle name="Normal 3 4 2 5" xfId="762"/>
    <cellStyle name="Normal 3 4 2 5 2" xfId="2022"/>
    <cellStyle name="Normal 3 4 2 6" xfId="1392"/>
    <cellStyle name="Normal 3 4 3" xfId="209"/>
    <cellStyle name="Normal 3 4 3 2" xfId="840"/>
    <cellStyle name="Normal 3 4 3 2 2" xfId="2100"/>
    <cellStyle name="Normal 3 4 3 3" xfId="1470"/>
    <cellStyle name="Normal 3 4 4" xfId="368"/>
    <cellStyle name="Normal 3 4 4 2" xfId="998"/>
    <cellStyle name="Normal 3 4 4 2 2" xfId="2258"/>
    <cellStyle name="Normal 3 4 4 3" xfId="1628"/>
    <cellStyle name="Normal 3 4 5" xfId="526"/>
    <cellStyle name="Normal 3 4 5 2" xfId="1156"/>
    <cellStyle name="Normal 3 4 5 2 2" xfId="2416"/>
    <cellStyle name="Normal 3 4 5 3" xfId="1786"/>
    <cellStyle name="Normal 3 4 6" xfId="684"/>
    <cellStyle name="Normal 3 4 6 2" xfId="1944"/>
    <cellStyle name="Normal 3 4 7" xfId="1314"/>
    <cellStyle name="Normal 3 5" xfId="79"/>
    <cellStyle name="Normal 3 5 2" xfId="157"/>
    <cellStyle name="Normal 3 5 2 2" xfId="313"/>
    <cellStyle name="Normal 3 5 2 2 2" xfId="944"/>
    <cellStyle name="Normal 3 5 2 2 2 2" xfId="2204"/>
    <cellStyle name="Normal 3 5 2 2 3" xfId="1574"/>
    <cellStyle name="Normal 3 5 2 3" xfId="472"/>
    <cellStyle name="Normal 3 5 2 3 2" xfId="1102"/>
    <cellStyle name="Normal 3 5 2 3 2 2" xfId="2362"/>
    <cellStyle name="Normal 3 5 2 3 3" xfId="1732"/>
    <cellStyle name="Normal 3 5 2 4" xfId="630"/>
    <cellStyle name="Normal 3 5 2 4 2" xfId="1260"/>
    <cellStyle name="Normal 3 5 2 4 2 2" xfId="2520"/>
    <cellStyle name="Normal 3 5 2 4 3" xfId="1890"/>
    <cellStyle name="Normal 3 5 2 5" xfId="788"/>
    <cellStyle name="Normal 3 5 2 5 2" xfId="2048"/>
    <cellStyle name="Normal 3 5 2 6" xfId="1418"/>
    <cellStyle name="Normal 3 5 3" xfId="235"/>
    <cellStyle name="Normal 3 5 3 2" xfId="866"/>
    <cellStyle name="Normal 3 5 3 2 2" xfId="2126"/>
    <cellStyle name="Normal 3 5 3 3" xfId="1496"/>
    <cellStyle name="Normal 3 5 4" xfId="394"/>
    <cellStyle name="Normal 3 5 4 2" xfId="1024"/>
    <cellStyle name="Normal 3 5 4 2 2" xfId="2284"/>
    <cellStyle name="Normal 3 5 4 3" xfId="1654"/>
    <cellStyle name="Normal 3 5 5" xfId="552"/>
    <cellStyle name="Normal 3 5 5 2" xfId="1182"/>
    <cellStyle name="Normal 3 5 5 2 2" xfId="2442"/>
    <cellStyle name="Normal 3 5 5 3" xfId="1812"/>
    <cellStyle name="Normal 3 5 6" xfId="710"/>
    <cellStyle name="Normal 3 5 6 2" xfId="1970"/>
    <cellStyle name="Normal 3 5 7" xfId="1340"/>
    <cellStyle name="Normal 3 6" xfId="105"/>
    <cellStyle name="Normal 3 6 2" xfId="261"/>
    <cellStyle name="Normal 3 6 2 2" xfId="892"/>
    <cellStyle name="Normal 3 6 2 2 2" xfId="2152"/>
    <cellStyle name="Normal 3 6 2 3" xfId="1522"/>
    <cellStyle name="Normal 3 6 3" xfId="420"/>
    <cellStyle name="Normal 3 6 3 2" xfId="1050"/>
    <cellStyle name="Normal 3 6 3 2 2" xfId="2310"/>
    <cellStyle name="Normal 3 6 3 3" xfId="1680"/>
    <cellStyle name="Normal 3 6 4" xfId="578"/>
    <cellStyle name="Normal 3 6 4 2" xfId="1208"/>
    <cellStyle name="Normal 3 6 4 2 2" xfId="2468"/>
    <cellStyle name="Normal 3 6 4 3" xfId="1838"/>
    <cellStyle name="Normal 3 6 5" xfId="736"/>
    <cellStyle name="Normal 3 6 5 2" xfId="1996"/>
    <cellStyle name="Normal 3 6 6" xfId="1366"/>
    <cellStyle name="Normal 3 7" xfId="183"/>
    <cellStyle name="Normal 3 7 2" xfId="814"/>
    <cellStyle name="Normal 3 7 2 2" xfId="2074"/>
    <cellStyle name="Normal 3 7 3" xfId="1444"/>
    <cellStyle name="Normal 3 8" xfId="342"/>
    <cellStyle name="Normal 3 8 2" xfId="972"/>
    <cellStyle name="Normal 3 8 2 2" xfId="2232"/>
    <cellStyle name="Normal 3 8 3" xfId="1602"/>
    <cellStyle name="Normal 3 9" xfId="500"/>
    <cellStyle name="Normal 3 9 2" xfId="1130"/>
    <cellStyle name="Normal 3 9 2 2" xfId="2390"/>
    <cellStyle name="Normal 3 9 3" xfId="1760"/>
    <cellStyle name="Normal 4" xfId="11"/>
    <cellStyle name="Normal 4 10" xfId="1290"/>
    <cellStyle name="Normal 4 2" xfId="45"/>
    <cellStyle name="Normal 4 2 2" xfId="74"/>
    <cellStyle name="Normal 4 2 2 2" xfId="152"/>
    <cellStyle name="Normal 4 2 2 2 2" xfId="308"/>
    <cellStyle name="Normal 4 2 2 2 2 2" xfId="939"/>
    <cellStyle name="Normal 4 2 2 2 2 2 2" xfId="2199"/>
    <cellStyle name="Normal 4 2 2 2 2 3" xfId="1569"/>
    <cellStyle name="Normal 4 2 2 2 3" xfId="467"/>
    <cellStyle name="Normal 4 2 2 2 3 2" xfId="1097"/>
    <cellStyle name="Normal 4 2 2 2 3 2 2" xfId="2357"/>
    <cellStyle name="Normal 4 2 2 2 3 3" xfId="1727"/>
    <cellStyle name="Normal 4 2 2 2 4" xfId="625"/>
    <cellStyle name="Normal 4 2 2 2 4 2" xfId="1255"/>
    <cellStyle name="Normal 4 2 2 2 4 2 2" xfId="2515"/>
    <cellStyle name="Normal 4 2 2 2 4 3" xfId="1885"/>
    <cellStyle name="Normal 4 2 2 2 5" xfId="783"/>
    <cellStyle name="Normal 4 2 2 2 5 2" xfId="2043"/>
    <cellStyle name="Normal 4 2 2 2 6" xfId="1413"/>
    <cellStyle name="Normal 4 2 2 3" xfId="230"/>
    <cellStyle name="Normal 4 2 2 3 2" xfId="861"/>
    <cellStyle name="Normal 4 2 2 3 2 2" xfId="2121"/>
    <cellStyle name="Normal 4 2 2 3 3" xfId="1491"/>
    <cellStyle name="Normal 4 2 2 4" xfId="389"/>
    <cellStyle name="Normal 4 2 2 4 2" xfId="1019"/>
    <cellStyle name="Normal 4 2 2 4 2 2" xfId="2279"/>
    <cellStyle name="Normal 4 2 2 4 3" xfId="1649"/>
    <cellStyle name="Normal 4 2 2 5" xfId="547"/>
    <cellStyle name="Normal 4 2 2 5 2" xfId="1177"/>
    <cellStyle name="Normal 4 2 2 5 2 2" xfId="2437"/>
    <cellStyle name="Normal 4 2 2 5 3" xfId="1807"/>
    <cellStyle name="Normal 4 2 2 6" xfId="705"/>
    <cellStyle name="Normal 4 2 2 6 2" xfId="1965"/>
    <cellStyle name="Normal 4 2 2 7" xfId="1335"/>
    <cellStyle name="Normal 4 2 3" xfId="100"/>
    <cellStyle name="Normal 4 2 3 2" xfId="178"/>
    <cellStyle name="Normal 4 2 3 2 2" xfId="334"/>
    <cellStyle name="Normal 4 2 3 2 2 2" xfId="965"/>
    <cellStyle name="Normal 4 2 3 2 2 2 2" xfId="2225"/>
    <cellStyle name="Normal 4 2 3 2 2 3" xfId="1595"/>
    <cellStyle name="Normal 4 2 3 2 3" xfId="493"/>
    <cellStyle name="Normal 4 2 3 2 3 2" xfId="1123"/>
    <cellStyle name="Normal 4 2 3 2 3 2 2" xfId="2383"/>
    <cellStyle name="Normal 4 2 3 2 3 3" xfId="1753"/>
    <cellStyle name="Normal 4 2 3 2 4" xfId="651"/>
    <cellStyle name="Normal 4 2 3 2 4 2" xfId="1281"/>
    <cellStyle name="Normal 4 2 3 2 4 2 2" xfId="2541"/>
    <cellStyle name="Normal 4 2 3 2 4 3" xfId="1911"/>
    <cellStyle name="Normal 4 2 3 2 5" xfId="809"/>
    <cellStyle name="Normal 4 2 3 2 5 2" xfId="2069"/>
    <cellStyle name="Normal 4 2 3 2 6" xfId="1439"/>
    <cellStyle name="Normal 4 2 3 3" xfId="256"/>
    <cellStyle name="Normal 4 2 3 3 2" xfId="887"/>
    <cellStyle name="Normal 4 2 3 3 2 2" xfId="2147"/>
    <cellStyle name="Normal 4 2 3 3 3" xfId="1517"/>
    <cellStyle name="Normal 4 2 3 4" xfId="415"/>
    <cellStyle name="Normal 4 2 3 4 2" xfId="1045"/>
    <cellStyle name="Normal 4 2 3 4 2 2" xfId="2305"/>
    <cellStyle name="Normal 4 2 3 4 3" xfId="1675"/>
    <cellStyle name="Normal 4 2 3 5" xfId="573"/>
    <cellStyle name="Normal 4 2 3 5 2" xfId="1203"/>
    <cellStyle name="Normal 4 2 3 5 2 2" xfId="2463"/>
    <cellStyle name="Normal 4 2 3 5 3" xfId="1833"/>
    <cellStyle name="Normal 4 2 3 6" xfId="731"/>
    <cellStyle name="Normal 4 2 3 6 2" xfId="1991"/>
    <cellStyle name="Normal 4 2 3 7" xfId="1361"/>
    <cellStyle name="Normal 4 2 4" xfId="126"/>
    <cellStyle name="Normal 4 2 4 2" xfId="282"/>
    <cellStyle name="Normal 4 2 4 2 2" xfId="913"/>
    <cellStyle name="Normal 4 2 4 2 2 2" xfId="2173"/>
    <cellStyle name="Normal 4 2 4 2 3" xfId="1543"/>
    <cellStyle name="Normal 4 2 4 3" xfId="441"/>
    <cellStyle name="Normal 4 2 4 3 2" xfId="1071"/>
    <cellStyle name="Normal 4 2 4 3 2 2" xfId="2331"/>
    <cellStyle name="Normal 4 2 4 3 3" xfId="1701"/>
    <cellStyle name="Normal 4 2 4 4" xfId="599"/>
    <cellStyle name="Normal 4 2 4 4 2" xfId="1229"/>
    <cellStyle name="Normal 4 2 4 4 2 2" xfId="2489"/>
    <cellStyle name="Normal 4 2 4 4 3" xfId="1859"/>
    <cellStyle name="Normal 4 2 4 5" xfId="757"/>
    <cellStyle name="Normal 4 2 4 5 2" xfId="2017"/>
    <cellStyle name="Normal 4 2 4 6" xfId="1387"/>
    <cellStyle name="Normal 4 2 5" xfId="204"/>
    <cellStyle name="Normal 4 2 5 2" xfId="835"/>
    <cellStyle name="Normal 4 2 5 2 2" xfId="2095"/>
    <cellStyle name="Normal 4 2 5 3" xfId="1465"/>
    <cellStyle name="Normal 4 2 6" xfId="363"/>
    <cellStyle name="Normal 4 2 6 2" xfId="993"/>
    <cellStyle name="Normal 4 2 6 2 2" xfId="2253"/>
    <cellStyle name="Normal 4 2 6 3" xfId="1623"/>
    <cellStyle name="Normal 4 2 7" xfId="521"/>
    <cellStyle name="Normal 4 2 7 2" xfId="1151"/>
    <cellStyle name="Normal 4 2 7 2 2" xfId="2411"/>
    <cellStyle name="Normal 4 2 7 3" xfId="1781"/>
    <cellStyle name="Normal 4 2 8" xfId="679"/>
    <cellStyle name="Normal 4 2 8 2" xfId="1939"/>
    <cellStyle name="Normal 4 2 9" xfId="1309"/>
    <cellStyle name="Normal 4 3" xfId="55"/>
    <cellStyle name="Normal 4 3 2" xfId="133"/>
    <cellStyle name="Normal 4 3 2 2" xfId="289"/>
    <cellStyle name="Normal 4 3 2 2 2" xfId="920"/>
    <cellStyle name="Normal 4 3 2 2 2 2" xfId="2180"/>
    <cellStyle name="Normal 4 3 2 2 3" xfId="1550"/>
    <cellStyle name="Normal 4 3 2 3" xfId="448"/>
    <cellStyle name="Normal 4 3 2 3 2" xfId="1078"/>
    <cellStyle name="Normal 4 3 2 3 2 2" xfId="2338"/>
    <cellStyle name="Normal 4 3 2 3 3" xfId="1708"/>
    <cellStyle name="Normal 4 3 2 4" xfId="606"/>
    <cellStyle name="Normal 4 3 2 4 2" xfId="1236"/>
    <cellStyle name="Normal 4 3 2 4 2 2" xfId="2496"/>
    <cellStyle name="Normal 4 3 2 4 3" xfId="1866"/>
    <cellStyle name="Normal 4 3 2 5" xfId="764"/>
    <cellStyle name="Normal 4 3 2 5 2" xfId="2024"/>
    <cellStyle name="Normal 4 3 2 6" xfId="1394"/>
    <cellStyle name="Normal 4 3 3" xfId="211"/>
    <cellStyle name="Normal 4 3 3 2" xfId="842"/>
    <cellStyle name="Normal 4 3 3 2 2" xfId="2102"/>
    <cellStyle name="Normal 4 3 3 3" xfId="1472"/>
    <cellStyle name="Normal 4 3 4" xfId="370"/>
    <cellStyle name="Normal 4 3 4 2" xfId="1000"/>
    <cellStyle name="Normal 4 3 4 2 2" xfId="2260"/>
    <cellStyle name="Normal 4 3 4 3" xfId="1630"/>
    <cellStyle name="Normal 4 3 5" xfId="528"/>
    <cellStyle name="Normal 4 3 5 2" xfId="1158"/>
    <cellStyle name="Normal 4 3 5 2 2" xfId="2418"/>
    <cellStyle name="Normal 4 3 5 3" xfId="1788"/>
    <cellStyle name="Normal 4 3 6" xfId="686"/>
    <cellStyle name="Normal 4 3 6 2" xfId="1946"/>
    <cellStyle name="Normal 4 3 7" xfId="1316"/>
    <cellStyle name="Normal 4 4" xfId="81"/>
    <cellStyle name="Normal 4 4 2" xfId="159"/>
    <cellStyle name="Normal 4 4 2 2" xfId="315"/>
    <cellStyle name="Normal 4 4 2 2 2" xfId="946"/>
    <cellStyle name="Normal 4 4 2 2 2 2" xfId="2206"/>
    <cellStyle name="Normal 4 4 2 2 3" xfId="1576"/>
    <cellStyle name="Normal 4 4 2 3" xfId="474"/>
    <cellStyle name="Normal 4 4 2 3 2" xfId="1104"/>
    <cellStyle name="Normal 4 4 2 3 2 2" xfId="2364"/>
    <cellStyle name="Normal 4 4 2 3 3" xfId="1734"/>
    <cellStyle name="Normal 4 4 2 4" xfId="632"/>
    <cellStyle name="Normal 4 4 2 4 2" xfId="1262"/>
    <cellStyle name="Normal 4 4 2 4 2 2" xfId="2522"/>
    <cellStyle name="Normal 4 4 2 4 3" xfId="1892"/>
    <cellStyle name="Normal 4 4 2 5" xfId="790"/>
    <cellStyle name="Normal 4 4 2 5 2" xfId="2050"/>
    <cellStyle name="Normal 4 4 2 6" xfId="1420"/>
    <cellStyle name="Normal 4 4 3" xfId="237"/>
    <cellStyle name="Normal 4 4 3 2" xfId="868"/>
    <cellStyle name="Normal 4 4 3 2 2" xfId="2128"/>
    <cellStyle name="Normal 4 4 3 3" xfId="1498"/>
    <cellStyle name="Normal 4 4 4" xfId="396"/>
    <cellStyle name="Normal 4 4 4 2" xfId="1026"/>
    <cellStyle name="Normal 4 4 4 2 2" xfId="2286"/>
    <cellStyle name="Normal 4 4 4 3" xfId="1656"/>
    <cellStyle name="Normal 4 4 5" xfId="554"/>
    <cellStyle name="Normal 4 4 5 2" xfId="1184"/>
    <cellStyle name="Normal 4 4 5 2 2" xfId="2444"/>
    <cellStyle name="Normal 4 4 5 3" xfId="1814"/>
    <cellStyle name="Normal 4 4 6" xfId="712"/>
    <cellStyle name="Normal 4 4 6 2" xfId="1972"/>
    <cellStyle name="Normal 4 4 7" xfId="1342"/>
    <cellStyle name="Normal 4 5" xfId="107"/>
    <cellStyle name="Normal 4 5 2" xfId="263"/>
    <cellStyle name="Normal 4 5 2 2" xfId="894"/>
    <cellStyle name="Normal 4 5 2 2 2" xfId="2154"/>
    <cellStyle name="Normal 4 5 2 3" xfId="1524"/>
    <cellStyle name="Normal 4 5 3" xfId="422"/>
    <cellStyle name="Normal 4 5 3 2" xfId="1052"/>
    <cellStyle name="Normal 4 5 3 2 2" xfId="2312"/>
    <cellStyle name="Normal 4 5 3 3" xfId="1682"/>
    <cellStyle name="Normal 4 5 4" xfId="580"/>
    <cellStyle name="Normal 4 5 4 2" xfId="1210"/>
    <cellStyle name="Normal 4 5 4 2 2" xfId="2470"/>
    <cellStyle name="Normal 4 5 4 3" xfId="1840"/>
    <cellStyle name="Normal 4 5 5" xfId="738"/>
    <cellStyle name="Normal 4 5 5 2" xfId="1998"/>
    <cellStyle name="Normal 4 5 6" xfId="1368"/>
    <cellStyle name="Normal 4 6" xfId="185"/>
    <cellStyle name="Normal 4 6 2" xfId="816"/>
    <cellStyle name="Normal 4 6 2 2" xfId="2076"/>
    <cellStyle name="Normal 4 6 3" xfId="1446"/>
    <cellStyle name="Normal 4 7" xfId="344"/>
    <cellStyle name="Normal 4 7 2" xfId="974"/>
    <cellStyle name="Normal 4 7 2 2" xfId="2234"/>
    <cellStyle name="Normal 4 7 3" xfId="1604"/>
    <cellStyle name="Normal 4 8" xfId="502"/>
    <cellStyle name="Normal 4 8 2" xfId="1132"/>
    <cellStyle name="Normal 4 8 2 2" xfId="2392"/>
    <cellStyle name="Normal 4 8 3" xfId="1762"/>
    <cellStyle name="Normal 4 9" xfId="660"/>
    <cellStyle name="Normal 4 9 2" xfId="1920"/>
    <cellStyle name="Normal 5" xfId="15"/>
    <cellStyle name="Normal 5 10" xfId="1294"/>
    <cellStyle name="Normal 5 2" xfId="46"/>
    <cellStyle name="Normal 5 3" xfId="59"/>
    <cellStyle name="Normal 5 3 2" xfId="137"/>
    <cellStyle name="Normal 5 3 2 2" xfId="293"/>
    <cellStyle name="Normal 5 3 2 2 2" xfId="924"/>
    <cellStyle name="Normal 5 3 2 2 2 2" xfId="2184"/>
    <cellStyle name="Normal 5 3 2 2 3" xfId="1554"/>
    <cellStyle name="Normal 5 3 2 3" xfId="452"/>
    <cellStyle name="Normal 5 3 2 3 2" xfId="1082"/>
    <cellStyle name="Normal 5 3 2 3 2 2" xfId="2342"/>
    <cellStyle name="Normal 5 3 2 3 3" xfId="1712"/>
    <cellStyle name="Normal 5 3 2 4" xfId="610"/>
    <cellStyle name="Normal 5 3 2 4 2" xfId="1240"/>
    <cellStyle name="Normal 5 3 2 4 2 2" xfId="2500"/>
    <cellStyle name="Normal 5 3 2 4 3" xfId="1870"/>
    <cellStyle name="Normal 5 3 2 5" xfId="768"/>
    <cellStyle name="Normal 5 3 2 5 2" xfId="2028"/>
    <cellStyle name="Normal 5 3 2 6" xfId="1398"/>
    <cellStyle name="Normal 5 3 3" xfId="215"/>
    <cellStyle name="Normal 5 3 3 2" xfId="846"/>
    <cellStyle name="Normal 5 3 3 2 2" xfId="2106"/>
    <cellStyle name="Normal 5 3 3 3" xfId="1476"/>
    <cellStyle name="Normal 5 3 4" xfId="374"/>
    <cellStyle name="Normal 5 3 4 2" xfId="1004"/>
    <cellStyle name="Normal 5 3 4 2 2" xfId="2264"/>
    <cellStyle name="Normal 5 3 4 3" xfId="1634"/>
    <cellStyle name="Normal 5 3 5" xfId="532"/>
    <cellStyle name="Normal 5 3 5 2" xfId="1162"/>
    <cellStyle name="Normal 5 3 5 2 2" xfId="2422"/>
    <cellStyle name="Normal 5 3 5 3" xfId="1792"/>
    <cellStyle name="Normal 5 3 6" xfId="690"/>
    <cellStyle name="Normal 5 3 6 2" xfId="1950"/>
    <cellStyle name="Normal 5 3 7" xfId="1320"/>
    <cellStyle name="Normal 5 4" xfId="85"/>
    <cellStyle name="Normal 5 4 2" xfId="163"/>
    <cellStyle name="Normal 5 4 2 2" xfId="319"/>
    <cellStyle name="Normal 5 4 2 2 2" xfId="950"/>
    <cellStyle name="Normal 5 4 2 2 2 2" xfId="2210"/>
    <cellStyle name="Normal 5 4 2 2 3" xfId="1580"/>
    <cellStyle name="Normal 5 4 2 3" xfId="478"/>
    <cellStyle name="Normal 5 4 2 3 2" xfId="1108"/>
    <cellStyle name="Normal 5 4 2 3 2 2" xfId="2368"/>
    <cellStyle name="Normal 5 4 2 3 3" xfId="1738"/>
    <cellStyle name="Normal 5 4 2 4" xfId="636"/>
    <cellStyle name="Normal 5 4 2 4 2" xfId="1266"/>
    <cellStyle name="Normal 5 4 2 4 2 2" xfId="2526"/>
    <cellStyle name="Normal 5 4 2 4 3" xfId="1896"/>
    <cellStyle name="Normal 5 4 2 5" xfId="794"/>
    <cellStyle name="Normal 5 4 2 5 2" xfId="2054"/>
    <cellStyle name="Normal 5 4 2 6" xfId="1424"/>
    <cellStyle name="Normal 5 4 3" xfId="241"/>
    <cellStyle name="Normal 5 4 3 2" xfId="872"/>
    <cellStyle name="Normal 5 4 3 2 2" xfId="2132"/>
    <cellStyle name="Normal 5 4 3 3" xfId="1502"/>
    <cellStyle name="Normal 5 4 4" xfId="400"/>
    <cellStyle name="Normal 5 4 4 2" xfId="1030"/>
    <cellStyle name="Normal 5 4 4 2 2" xfId="2290"/>
    <cellStyle name="Normal 5 4 4 3" xfId="1660"/>
    <cellStyle name="Normal 5 4 5" xfId="558"/>
    <cellStyle name="Normal 5 4 5 2" xfId="1188"/>
    <cellStyle name="Normal 5 4 5 2 2" xfId="2561"/>
    <cellStyle name="Normal 5 4 5 2 3" xfId="2448"/>
    <cellStyle name="Normal 5 4 5 3" xfId="1818"/>
    <cellStyle name="Normal 5 4 6" xfId="716"/>
    <cellStyle name="Normal 5 4 6 2" xfId="1976"/>
    <cellStyle name="Normal 5 4 7" xfId="1346"/>
    <cellStyle name="Normal 5 5" xfId="111"/>
    <cellStyle name="Normal 5 5 2" xfId="267"/>
    <cellStyle name="Normal 5 5 2 2" xfId="898"/>
    <cellStyle name="Normal 5 5 2 2 2" xfId="2158"/>
    <cellStyle name="Normal 5 5 2 3" xfId="1528"/>
    <cellStyle name="Normal 5 5 3" xfId="426"/>
    <cellStyle name="Normal 5 5 3 2" xfId="1056"/>
    <cellStyle name="Normal 5 5 3 2 2" xfId="2316"/>
    <cellStyle name="Normal 5 5 3 3" xfId="1686"/>
    <cellStyle name="Normal 5 5 4" xfId="584"/>
    <cellStyle name="Normal 5 5 4 2" xfId="1214"/>
    <cellStyle name="Normal 5 5 4 2 2" xfId="2474"/>
    <cellStyle name="Normal 5 5 4 3" xfId="1844"/>
    <cellStyle name="Normal 5 5 5" xfId="742"/>
    <cellStyle name="Normal 5 5 5 2" xfId="2002"/>
    <cellStyle name="Normal 5 5 6" xfId="1372"/>
    <cellStyle name="Normal 5 6" xfId="189"/>
    <cellStyle name="Normal 5 6 2" xfId="820"/>
    <cellStyle name="Normal 5 6 2 2" xfId="2080"/>
    <cellStyle name="Normal 5 6 3" xfId="1450"/>
    <cellStyle name="Normal 5 7" xfId="348"/>
    <cellStyle name="Normal 5 7 2" xfId="978"/>
    <cellStyle name="Normal 5 7 2 2" xfId="2238"/>
    <cellStyle name="Normal 5 7 3" xfId="1608"/>
    <cellStyle name="Normal 5 8" xfId="506"/>
    <cellStyle name="Normal 5 8 2" xfId="1136"/>
    <cellStyle name="Normal 5 8 2 2" xfId="2396"/>
    <cellStyle name="Normal 5 8 3" xfId="1766"/>
    <cellStyle name="Normal 5 9" xfId="664"/>
    <cellStyle name="Normal 5 9 2" xfId="1924"/>
    <cellStyle name="Normal 6" xfId="335"/>
    <cellStyle name="Normal 6 2" xfId="494"/>
    <cellStyle name="Normal 6 2 2" xfId="1124"/>
    <cellStyle name="Normal 6 2 2 2" xfId="2384"/>
    <cellStyle name="Normal 6 2 3" xfId="1754"/>
    <cellStyle name="Normal 6 3" xfId="652"/>
    <cellStyle name="Normal 6 3 2" xfId="1282"/>
    <cellStyle name="Normal 6 3 2 2" xfId="2542"/>
    <cellStyle name="Normal 6 3 3" xfId="2547"/>
    <cellStyle name="Normal 6 3 4" xfId="2551"/>
    <cellStyle name="Normal 6 3 5" xfId="2555"/>
    <cellStyle name="Normal 6 3 6" xfId="2558"/>
    <cellStyle name="Normal 6 3 7" xfId="1912"/>
    <cellStyle name="Normal 6 4" xfId="966"/>
    <cellStyle name="Normal 6 4 2" xfId="2226"/>
    <cellStyle name="Normal 6 5" xfId="1596"/>
    <cellStyle name="Normal 7" xfId="2545"/>
    <cellStyle name="Normal 8" xfId="2549"/>
    <cellStyle name="Normal 9" xfId="2553"/>
    <cellStyle name="Porcentaje" xfId="2563" builtinId="5"/>
    <cellStyle name="Porcentual 2" xfId="10"/>
    <cellStyle name="Porcentual 2 10" xfId="659"/>
    <cellStyle name="Porcentual 2 10 2" xfId="1919"/>
    <cellStyle name="Porcentual 2 11" xfId="1289"/>
    <cellStyle name="Porcentual 2 2" xfId="48"/>
    <cellStyle name="Porcentual 2 3" xfId="47"/>
    <cellStyle name="Porcentual 2 4" xfId="54"/>
    <cellStyle name="Porcentual 2 4 2" xfId="132"/>
    <cellStyle name="Porcentual 2 4 2 2" xfId="288"/>
    <cellStyle name="Porcentual 2 4 2 2 2" xfId="919"/>
    <cellStyle name="Porcentual 2 4 2 2 2 2" xfId="2179"/>
    <cellStyle name="Porcentual 2 4 2 2 3" xfId="1549"/>
    <cellStyle name="Porcentual 2 4 2 3" xfId="447"/>
    <cellStyle name="Porcentual 2 4 2 3 2" xfId="1077"/>
    <cellStyle name="Porcentual 2 4 2 3 2 2" xfId="2337"/>
    <cellStyle name="Porcentual 2 4 2 3 3" xfId="1707"/>
    <cellStyle name="Porcentual 2 4 2 4" xfId="605"/>
    <cellStyle name="Porcentual 2 4 2 4 2" xfId="1235"/>
    <cellStyle name="Porcentual 2 4 2 4 2 2" xfId="2495"/>
    <cellStyle name="Porcentual 2 4 2 4 3" xfId="1865"/>
    <cellStyle name="Porcentual 2 4 2 5" xfId="763"/>
    <cellStyle name="Porcentual 2 4 2 5 2" xfId="2023"/>
    <cellStyle name="Porcentual 2 4 2 6" xfId="1393"/>
    <cellStyle name="Porcentual 2 4 3" xfId="210"/>
    <cellStyle name="Porcentual 2 4 3 2" xfId="841"/>
    <cellStyle name="Porcentual 2 4 3 2 2" xfId="2101"/>
    <cellStyle name="Porcentual 2 4 3 3" xfId="1471"/>
    <cellStyle name="Porcentual 2 4 4" xfId="369"/>
    <cellStyle name="Porcentual 2 4 4 2" xfId="999"/>
    <cellStyle name="Porcentual 2 4 4 2 2" xfId="2259"/>
    <cellStyle name="Porcentual 2 4 4 3" xfId="1629"/>
    <cellStyle name="Porcentual 2 4 5" xfId="527"/>
    <cellStyle name="Porcentual 2 4 5 2" xfId="1157"/>
    <cellStyle name="Porcentual 2 4 5 2 2" xfId="2417"/>
    <cellStyle name="Porcentual 2 4 5 3" xfId="1787"/>
    <cellStyle name="Porcentual 2 4 6" xfId="685"/>
    <cellStyle name="Porcentual 2 4 6 2" xfId="1945"/>
    <cellStyle name="Porcentual 2 4 7" xfId="1315"/>
    <cellStyle name="Porcentual 2 5" xfId="80"/>
    <cellStyle name="Porcentual 2 5 2" xfId="158"/>
    <cellStyle name="Porcentual 2 5 2 2" xfId="314"/>
    <cellStyle name="Porcentual 2 5 2 2 2" xfId="945"/>
    <cellStyle name="Porcentual 2 5 2 2 2 2" xfId="2205"/>
    <cellStyle name="Porcentual 2 5 2 2 3" xfId="1575"/>
    <cellStyle name="Porcentual 2 5 2 3" xfId="473"/>
    <cellStyle name="Porcentual 2 5 2 3 2" xfId="1103"/>
    <cellStyle name="Porcentual 2 5 2 3 2 2" xfId="2363"/>
    <cellStyle name="Porcentual 2 5 2 3 3" xfId="1733"/>
    <cellStyle name="Porcentual 2 5 2 4" xfId="631"/>
    <cellStyle name="Porcentual 2 5 2 4 2" xfId="1261"/>
    <cellStyle name="Porcentual 2 5 2 4 2 2" xfId="2521"/>
    <cellStyle name="Porcentual 2 5 2 4 3" xfId="1891"/>
    <cellStyle name="Porcentual 2 5 2 5" xfId="789"/>
    <cellStyle name="Porcentual 2 5 2 5 2" xfId="2049"/>
    <cellStyle name="Porcentual 2 5 2 6" xfId="1419"/>
    <cellStyle name="Porcentual 2 5 3" xfId="236"/>
    <cellStyle name="Porcentual 2 5 3 2" xfId="867"/>
    <cellStyle name="Porcentual 2 5 3 2 2" xfId="2127"/>
    <cellStyle name="Porcentual 2 5 3 3" xfId="1497"/>
    <cellStyle name="Porcentual 2 5 4" xfId="395"/>
    <cellStyle name="Porcentual 2 5 4 2" xfId="1025"/>
    <cellStyle name="Porcentual 2 5 4 2 2" xfId="2285"/>
    <cellStyle name="Porcentual 2 5 4 3" xfId="1655"/>
    <cellStyle name="Porcentual 2 5 5" xfId="553"/>
    <cellStyle name="Porcentual 2 5 5 2" xfId="1183"/>
    <cellStyle name="Porcentual 2 5 5 2 2" xfId="2443"/>
    <cellStyle name="Porcentual 2 5 5 3" xfId="1813"/>
    <cellStyle name="Porcentual 2 5 6" xfId="711"/>
    <cellStyle name="Porcentual 2 5 6 2" xfId="1971"/>
    <cellStyle name="Porcentual 2 5 7" xfId="1341"/>
    <cellStyle name="Porcentual 2 6" xfId="106"/>
    <cellStyle name="Porcentual 2 6 2" xfId="262"/>
    <cellStyle name="Porcentual 2 6 2 2" xfId="893"/>
    <cellStyle name="Porcentual 2 6 2 2 2" xfId="2153"/>
    <cellStyle name="Porcentual 2 6 2 3" xfId="1523"/>
    <cellStyle name="Porcentual 2 6 3" xfId="421"/>
    <cellStyle name="Porcentual 2 6 3 2" xfId="1051"/>
    <cellStyle name="Porcentual 2 6 3 2 2" xfId="2311"/>
    <cellStyle name="Porcentual 2 6 3 3" xfId="1681"/>
    <cellStyle name="Porcentual 2 6 4" xfId="579"/>
    <cellStyle name="Porcentual 2 6 4 2" xfId="1209"/>
    <cellStyle name="Porcentual 2 6 4 2 2" xfId="2469"/>
    <cellStyle name="Porcentual 2 6 4 3" xfId="1839"/>
    <cellStyle name="Porcentual 2 6 5" xfId="737"/>
    <cellStyle name="Porcentual 2 6 5 2" xfId="1997"/>
    <cellStyle name="Porcentual 2 6 6" xfId="1367"/>
    <cellStyle name="Porcentual 2 7" xfId="184"/>
    <cellStyle name="Porcentual 2 7 2" xfId="815"/>
    <cellStyle name="Porcentual 2 7 2 2" xfId="2075"/>
    <cellStyle name="Porcentual 2 7 3" xfId="1445"/>
    <cellStyle name="Porcentual 2 8" xfId="343"/>
    <cellStyle name="Porcentual 2 8 2" xfId="973"/>
    <cellStyle name="Porcentual 2 8 2 2" xfId="2233"/>
    <cellStyle name="Porcentual 2 8 3" xfId="1603"/>
    <cellStyle name="Porcentual 2 9" xfId="501"/>
    <cellStyle name="Porcentual 2 9 2" xfId="1131"/>
    <cellStyle name="Porcentual 2 9 2 2" xfId="2391"/>
    <cellStyle name="Porcentual 2 9 3" xfId="1761"/>
    <cellStyle name="TableStyleLight1" xfId="3"/>
    <cellStyle name="TableStyleLight1 2" xfId="19"/>
    <cellStyle name="TableStyleLight1 3" xfId="2548"/>
    <cellStyle name="TableStyleLight1 4" xfId="2552"/>
    <cellStyle name="TableStyleLight1 5" xfId="2556"/>
    <cellStyle name="TableStyleLight1 6" xfId="2560"/>
  </cellStyles>
  <dxfs count="130">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right style="thin">
          <color indexed="64"/>
        </right>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79" formatCode="_-&quot;$&quot;* #,##0_-;\-&quot;$&quot;* #,##0_-;_-&quot;$&quot;* &quot;-&quot;??_-;_-@_-"/>
    </dxf>
    <dxf>
      <numFmt numFmtId="171" formatCode="_(* #,##0_);_(* \(#,##0\);_(* \-??_);_(@_)"/>
    </dxf>
    <dxf>
      <font>
        <b val="0"/>
        <i val="0"/>
        <strike val="0"/>
        <condense val="0"/>
        <extend val="0"/>
        <outline val="0"/>
        <shadow val="0"/>
        <u val="none"/>
        <vertAlign val="baseline"/>
        <sz val="11"/>
        <color indexed="63"/>
        <name val="Calibri"/>
        <scheme val="none"/>
      </font>
      <numFmt numFmtId="170" formatCode="_(* #,##0.00_);_(* \(#,##0.00\);_(* \-??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79" formatCode="_-&quot;$&quot;* #,##0_-;\-&quot;$&quot;* #,##0_-;_-&quot;$&quot;* &quot;-&quot;??_-;_-@_-"/>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79" formatCode="_-&quot;$&quot;* #,##0_-;\-&quot;$&quot;* #,##0_-;_-&quot;$&quot;* &quot;-&quot;??_-;_-@_-"/>
    </dxf>
    <dxf>
      <numFmt numFmtId="179" formatCode="_-&quot;$&quot;* #,##0_-;\-&quot;$&quot;* #,##0_-;_-&quot;$&quot;* &quot;-&quot;??_-;_-@_-"/>
    </dxf>
    <dxf>
      <numFmt numFmtId="179" formatCode="_-&quot;$&quot;* #,##0_-;\-&quot;$&quot;* #,##0_-;_-&quot;$&quot;* &quot;-&quot;??_-;_-@_-"/>
    </dxf>
    <dxf>
      <numFmt numFmtId="179" formatCode="_-&quot;$&quot;* #,##0_-;\-&quot;$&quot;* #,##0_-;_-&quot;$&quot;* &quot;-&quot;??_-;_-@_-"/>
    </dxf>
    <dxf>
      <numFmt numFmtId="179" formatCode="_-&quot;$&quot;* #,##0_-;\-&quot;$&quot;* #,##0_-;_-&quot;$&quot;* &quot;-&quot;??_-;_-@_-"/>
    </dxf>
    <dxf>
      <numFmt numFmtId="171" formatCode="_(* #,##0_);_(* \(#,##0\);_(* \-??_);_(@_)"/>
    </dxf>
    <dxf>
      <font>
        <b val="0"/>
        <i val="0"/>
        <strike val="0"/>
        <condense val="0"/>
        <extend val="0"/>
        <outline val="0"/>
        <shadow val="0"/>
        <u val="none"/>
        <vertAlign val="baseline"/>
        <sz val="11"/>
        <color indexed="63"/>
        <name val="Calibri"/>
        <scheme val="none"/>
      </font>
      <numFmt numFmtId="170" formatCode="_(* #,##0.00_);_(* \(#,##0.00\);_(* \-??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ejecución!$A$5</c:f>
              <c:strCache>
                <c:ptCount val="1"/>
                <c:pt idx="0">
                  <c:v>Gastos Generales </c:v>
                </c:pt>
              </c:strCache>
            </c:strRef>
          </c:tx>
          <c:invertIfNegative val="0"/>
          <c:cat>
            <c:strRef>
              <c:f>ejecución!$B$3:$E$4</c:f>
              <c:strCache>
                <c:ptCount val="4"/>
                <c:pt idx="0">
                  <c:v>Presupuesto 2017</c:v>
                </c:pt>
                <c:pt idx="1">
                  <c:v>Disponibilidad - CDP</c:v>
                </c:pt>
                <c:pt idx="2">
                  <c:v>Compromisos </c:v>
                </c:pt>
                <c:pt idx="3">
                  <c:v>Pagos</c:v>
                </c:pt>
              </c:strCache>
            </c:strRef>
          </c:cat>
          <c:val>
            <c:numRef>
              <c:f>ejecución!$B$5:$E$5</c:f>
              <c:numCache>
                <c:formatCode>_-"$"* #,##0_-;\-"$"* #,##0_-;_-"$"* "-"??_-;_-@_-</c:formatCode>
                <c:ptCount val="4"/>
                <c:pt idx="0">
                  <c:v>849.5</c:v>
                </c:pt>
                <c:pt idx="1">
                  <c:v>812</c:v>
                </c:pt>
                <c:pt idx="2">
                  <c:v>797</c:v>
                </c:pt>
                <c:pt idx="3">
                  <c:v>572</c:v>
                </c:pt>
              </c:numCache>
            </c:numRef>
          </c:val>
        </c:ser>
        <c:ser>
          <c:idx val="1"/>
          <c:order val="1"/>
          <c:tx>
            <c:strRef>
              <c:f>ejecución!$A$6</c:f>
              <c:strCache>
                <c:ptCount val="1"/>
                <c:pt idx="0">
                  <c:v>Inversión</c:v>
                </c:pt>
              </c:strCache>
            </c:strRef>
          </c:tx>
          <c:invertIfNegative val="0"/>
          <c:dLbls>
            <c:showLegendKey val="0"/>
            <c:showVal val="1"/>
            <c:showCatName val="0"/>
            <c:showSerName val="0"/>
            <c:showPercent val="0"/>
            <c:showBubbleSize val="0"/>
            <c:showLeaderLines val="0"/>
          </c:dLbls>
          <c:cat>
            <c:strRef>
              <c:f>ejecución!$B$3:$E$4</c:f>
              <c:strCache>
                <c:ptCount val="4"/>
                <c:pt idx="0">
                  <c:v>Presupuesto 2017</c:v>
                </c:pt>
                <c:pt idx="1">
                  <c:v>Disponibilidad - CDP</c:v>
                </c:pt>
                <c:pt idx="2">
                  <c:v>Compromisos </c:v>
                </c:pt>
                <c:pt idx="3">
                  <c:v>Pagos</c:v>
                </c:pt>
              </c:strCache>
            </c:strRef>
          </c:cat>
          <c:val>
            <c:numRef>
              <c:f>ejecución!$B$6:$E$6</c:f>
              <c:numCache>
                <c:formatCode>_-"$"* #,##0_-;\-"$"* #,##0_-;_-"$"* "-"??_-;_-@_-</c:formatCode>
                <c:ptCount val="4"/>
                <c:pt idx="0">
                  <c:v>6186.9148999999998</c:v>
                </c:pt>
                <c:pt idx="1">
                  <c:v>6187</c:v>
                </c:pt>
                <c:pt idx="2">
                  <c:v>6170</c:v>
                </c:pt>
                <c:pt idx="3">
                  <c:v>4735</c:v>
                </c:pt>
              </c:numCache>
            </c:numRef>
          </c:val>
        </c:ser>
        <c:dLbls>
          <c:showLegendKey val="0"/>
          <c:showVal val="0"/>
          <c:showCatName val="0"/>
          <c:showSerName val="0"/>
          <c:showPercent val="0"/>
          <c:showBubbleSize val="0"/>
        </c:dLbls>
        <c:gapWidth val="41"/>
        <c:gapDepth val="174"/>
        <c:shape val="box"/>
        <c:axId val="118571776"/>
        <c:axId val="121140736"/>
        <c:axId val="0"/>
      </c:bar3DChart>
      <c:catAx>
        <c:axId val="118571776"/>
        <c:scaling>
          <c:orientation val="minMax"/>
        </c:scaling>
        <c:delete val="0"/>
        <c:axPos val="b"/>
        <c:majorTickMark val="out"/>
        <c:minorTickMark val="none"/>
        <c:tickLblPos val="nextTo"/>
        <c:crossAx val="121140736"/>
        <c:crosses val="autoZero"/>
        <c:auto val="1"/>
        <c:lblAlgn val="ctr"/>
        <c:lblOffset val="100"/>
        <c:noMultiLvlLbl val="0"/>
      </c:catAx>
      <c:valAx>
        <c:axId val="121140736"/>
        <c:scaling>
          <c:orientation val="minMax"/>
        </c:scaling>
        <c:delete val="0"/>
        <c:axPos val="l"/>
        <c:majorGridlines/>
        <c:numFmt formatCode="_-&quot;$&quot;* #,##0_-;\-&quot;$&quot;* #,##0_-;_-&quot;$&quot;* &quot;-&quot;??_-;_-@_-" sourceLinked="1"/>
        <c:majorTickMark val="out"/>
        <c:minorTickMark val="none"/>
        <c:tickLblPos val="nextTo"/>
        <c:crossAx val="11857177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204974</xdr:colOff>
      <xdr:row>1</xdr:row>
      <xdr:rowOff>1867</xdr:rowOff>
    </xdr:from>
    <xdr:to>
      <xdr:col>1</xdr:col>
      <xdr:colOff>468748</xdr:colOff>
      <xdr:row>5</xdr:row>
      <xdr:rowOff>33482</xdr:rowOff>
    </xdr:to>
    <xdr:pic>
      <xdr:nvPicPr>
        <xdr:cNvPr id="3"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724" y="144742"/>
          <a:ext cx="1262147" cy="688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367393</xdr:colOff>
      <xdr:row>0</xdr:row>
      <xdr:rowOff>13607</xdr:rowOff>
    </xdr:from>
    <xdr:to>
      <xdr:col>1</xdr:col>
      <xdr:colOff>343288</xdr:colOff>
      <xdr:row>1</xdr:row>
      <xdr:rowOff>395992</xdr:rowOff>
    </xdr:to>
    <xdr:pic>
      <xdr:nvPicPr>
        <xdr:cNvPr id="3"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93" y="13607"/>
          <a:ext cx="1389282" cy="808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8</xdr:row>
      <xdr:rowOff>95250</xdr:rowOff>
    </xdr:from>
    <xdr:to>
      <xdr:col>4</xdr:col>
      <xdr:colOff>152400</xdr:colOff>
      <xdr:row>22</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15876</xdr:colOff>
      <xdr:row>3</xdr:row>
      <xdr:rowOff>31750</xdr:rowOff>
    </xdr:to>
    <xdr:pic>
      <xdr:nvPicPr>
        <xdr:cNvPr id="2" name="1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809750"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tha Cecilia Quintero Barreiro" refreshedDate="42891.373457291666" createdVersion="4" refreshedVersion="4" minRefreshableVersion="3" recordCount="120">
  <cacheSource type="worksheet">
    <worksheetSource ref="A2:AD116" sheet="INVERSIÓN."/>
  </cacheSource>
  <cacheFields count="30">
    <cacheField name="Proyecto Estratégico Plan de Desarrollo" numFmtId="0">
      <sharedItems containsBlank="1"/>
    </cacheField>
    <cacheField name="Metas de resultado Plan de Desarrollo" numFmtId="0">
      <sharedItems containsBlank="1"/>
    </cacheField>
    <cacheField name="Componente del proyecto de Inversión" numFmtId="0">
      <sharedItems containsBlank="1"/>
    </cacheField>
    <cacheField name="Metas Proyecto del 2016 AL 2020" numFmtId="0">
      <sharedItems containsBlank="1"/>
    </cacheField>
    <cacheField name="Meta Vigencia 2017" numFmtId="0">
      <sharedItems containsBlank="1"/>
    </cacheField>
    <cacheField name="Actividad" numFmtId="0">
      <sharedItems containsMixedTypes="1" containsNumber="1" containsInteger="1" minValue="0" maxValue="0"/>
    </cacheField>
    <cacheField name="Item SIAFI" numFmtId="0">
      <sharedItems containsSemiMixedTypes="0" containsString="0" containsNumber="1" containsInteger="1" minValue="0" maxValue="281"/>
    </cacheField>
    <cacheField name="Item contratación a la vista" numFmtId="0">
      <sharedItems containsSemiMixedTypes="0" containsString="0" containsNumber="1" containsInteger="1" minValue="0" maxValue="0"/>
    </cacheField>
    <cacheField name="OBJETO DEL CONTRATO" numFmtId="0">
      <sharedItems longText="1"/>
    </cacheField>
    <cacheField name="Códigos" numFmtId="0">
      <sharedItems containsMixedTypes="1" containsNumber="1" containsInteger="1" minValue="0" maxValue="83121702"/>
    </cacheField>
    <cacheField name="SUPERVISOR" numFmtId="0">
      <sharedItems containsMixedTypes="1" containsNumber="1" containsInteger="1" minValue="0" maxValue="0" count="16">
        <s v="Profesional 222-07"/>
        <s v="Subdirector Académico"/>
        <s v="Profesional Especializado 222-07"/>
        <s v="Profesional 222-06"/>
        <s v="Asesor 105-03"/>
        <s v="Asesor 105-02"/>
        <s v="Profesional 222-05"/>
        <n v="0"/>
        <s v="Asesor 105-02 "/>
        <s v="Profesional Universitario 219-01"/>
        <s v=" Profesional 222-06."/>
        <s v="Jefe Oficina Asesora de Planeación"/>
        <s v=" Asesor Oficina Juridica"/>
        <s v="Jefe OAP"/>
        <s v="Subdirector Administrativo"/>
        <s v="Profesional 222-04"/>
      </sharedItems>
    </cacheField>
    <cacheField name="OFICINA" numFmtId="0">
      <sharedItems containsMixedTypes="1" containsNumber="1" containsInteger="1" minValue="0" maxValue="0"/>
    </cacheField>
    <cacheField name="Área" numFmtId="0">
      <sharedItems count="5">
        <s v="Subdirección Académica"/>
        <s v="Oficina asesora e Planeación"/>
        <s v="Oficina Asesora Jurídica"/>
        <s v="Subdirección Administrativa"/>
        <s v="Sundirección Administrativa" u="1"/>
      </sharedItems>
    </cacheField>
    <cacheField name="INICIO" numFmtId="0">
      <sharedItems containsMixedTypes="1" containsNumber="1" containsInteger="1" minValue="0" maxValue="0" count="10">
        <s v="Febrero"/>
        <s v="Abril"/>
        <s v="Junio"/>
        <s v="Enero"/>
        <s v="Mayo"/>
        <s v="Marzo"/>
        <n v="0"/>
        <s v="Julio"/>
        <s v="Noviembre"/>
        <s v="Agosto"/>
      </sharedItems>
    </cacheField>
    <cacheField name="Saldos" numFmtId="0">
      <sharedItems containsBlank="1" count="2">
        <m/>
        <s v="Saldo"/>
      </sharedItems>
    </cacheField>
    <cacheField name="DURACIÓN" numFmtId="0">
      <sharedItems containsSemiMixedTypes="0" containsString="0" containsNumber="1" containsInteger="1" minValue="0" maxValue="11"/>
    </cacheField>
    <cacheField name="MODALIDAD" numFmtId="0">
      <sharedItems containsMixedTypes="1" containsNumber="1" containsInteger="1" minValue="0" maxValue="0"/>
    </cacheField>
    <cacheField name="MODALIDAD SECOP" numFmtId="0">
      <sharedItems containsMixedTypes="1" containsNumber="1" containsInteger="1" minValue="0" maxValue="0"/>
    </cacheField>
    <cacheField name="TRANSFERENCIAS" numFmtId="171">
      <sharedItems containsSemiMixedTypes="0" containsString="0" containsNumber="1" containsInteger="1" minValue="0" maxValue="251473803"/>
    </cacheField>
    <cacheField name="RECURSOS ADMINISTRADOS" numFmtId="171">
      <sharedItems containsSemiMixedTypes="0" containsString="0" containsNumber="1" containsInteger="1" minValue="0" maxValue="432523468"/>
    </cacheField>
    <cacheField name="TOTAL" numFmtId="171">
      <sharedItems containsSemiMixedTypes="0" containsString="0" containsNumber="1" containsInteger="1" minValue="0" maxValue="432523468"/>
    </cacheField>
    <cacheField name="CON VIABILIDAD PLANEACIÓN" numFmtId="0">
      <sharedItems containsSemiMixedTypes="0" containsString="0" containsNumber="1" containsInteger="1" minValue="0" maxValue="1"/>
    </cacheField>
    <cacheField name="EJECUCIÓN TRANSFERENCIAS" numFmtId="171">
      <sharedItems containsSemiMixedTypes="0" containsString="0" containsNumber="1" containsInteger="1" minValue="0" maxValue="200000000"/>
    </cacheField>
    <cacheField name="EJECUCIÓN RECURSOS PROPIOS" numFmtId="171">
      <sharedItems containsSemiMixedTypes="0" containsString="0" containsNumber="1" containsInteger="1" minValue="0" maxValue="432523468"/>
    </cacheField>
    <cacheField name="EJECUCIÓN TOTAL" numFmtId="171">
      <sharedItems containsSemiMixedTypes="0" containsString="0" containsNumber="1" containsInteger="1" minValue="0" maxValue="432523468"/>
    </cacheField>
    <cacheField name="Fecha Contrato" numFmtId="14">
      <sharedItems containsNonDate="0" containsDate="1" containsString="0" containsBlank="1" minDate="2017-01-31T00:00:00" maxDate="2017-05-31T00:00:00"/>
    </cacheField>
    <cacheField name="Fecha Ejecución Contrato" numFmtId="14">
      <sharedItems containsDate="1" containsBlank="1" containsMixedTypes="1" minDate="2017-05-16T00:00:00" maxDate="2017-05-17T00:00:00" count="7">
        <s v="Febrero"/>
        <s v="Abril"/>
        <s v="Marzo"/>
        <m/>
        <s v="Enero"/>
        <s v="Mayo"/>
        <d v="2017-05-16T00:00:00" u="1"/>
      </sharedItems>
    </cacheField>
    <cacheField name="Pendiente por contratar" numFmtId="14">
      <sharedItems containsBlank="1" count="2">
        <m/>
        <s v="Pendiente"/>
      </sharedItems>
    </cacheField>
    <cacheField name="No. Contrato" numFmtId="0">
      <sharedItems containsDate="1" containsString="0" containsBlank="1" containsMixedTypes="1" minDate="1899-12-31T00:00:00" maxDate="1900-01-08T01:32:04"/>
    </cacheField>
    <cacheField name="Nombre del Contratista" numFmtId="0">
      <sharedItems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tha Cecilia Quintero Barreiro" refreshedDate="42891.376255092589" createdVersion="4" refreshedVersion="4" minRefreshableVersion="3" recordCount="59">
  <cacheSource type="worksheet">
    <worksheetSource ref="A1:Z51" sheet="GG."/>
  </cacheSource>
  <cacheFields count="26">
    <cacheField name="Rubro presupuestal" numFmtId="0">
      <sharedItems containsBlank="1"/>
    </cacheField>
    <cacheField name="Actividad" numFmtId="0">
      <sharedItems containsBlank="1"/>
    </cacheField>
    <cacheField name="Item SIAFI" numFmtId="0">
      <sharedItems containsSemiMixedTypes="0" containsString="0" containsNumber="1" containsInteger="1" minValue="0" maxValue="284"/>
    </cacheField>
    <cacheField name="Item contratación a la vista" numFmtId="0">
      <sharedItems containsSemiMixedTypes="0" containsString="0" containsNumber="1" containsInteger="1" minValue="0" maxValue="13"/>
    </cacheField>
    <cacheField name="OBJETO DEL CONTRATO" numFmtId="0">
      <sharedItems longText="1"/>
    </cacheField>
    <cacheField name="Códigos" numFmtId="0">
      <sharedItems containsMixedTypes="1" containsNumber="1" containsInteger="1" minValue="0" maxValue="93141808"/>
    </cacheField>
    <cacheField name="SUPERVISOR" numFmtId="0">
      <sharedItems containsMixedTypes="1" containsNumber="1" containsInteger="1" minValue="0" maxValue="0"/>
    </cacheField>
    <cacheField name="OFICINA" numFmtId="0">
      <sharedItems containsMixedTypes="1" containsNumber="1" containsInteger="1" minValue="0" maxValue="0"/>
    </cacheField>
    <cacheField name="Área" numFmtId="0">
      <sharedItems containsBlank="1" count="4">
        <s v="Subdirección Administrativa"/>
        <m/>
        <s v="Oficina Asesora de Planeación"/>
        <s v="Subdirección Académica"/>
      </sharedItems>
    </cacheField>
    <cacheField name="INICIO" numFmtId="0">
      <sharedItems containsMixedTypes="1" containsNumber="1" containsInteger="1" minValue="0" maxValue="0" count="13">
        <s v="Mayo"/>
        <n v="0"/>
        <s v="Julio"/>
        <s v="Marzo"/>
        <s v="Abril"/>
        <s v="Enero"/>
        <s v="Noviembre"/>
        <s v="Octubre"/>
        <s v="Septiembre"/>
        <s v="Agosto"/>
        <s v="Febrero"/>
        <s v="Diciembre"/>
        <s v="Junio"/>
      </sharedItems>
    </cacheField>
    <cacheField name="Saldo" numFmtId="0">
      <sharedItems containsBlank="1"/>
    </cacheField>
    <cacheField name="DURACIÓN" numFmtId="0">
      <sharedItems containsMixedTypes="1" containsNumber="1" containsInteger="1" minValue="0" maxValue="12"/>
    </cacheField>
    <cacheField name="MODALIDAD SECOP" numFmtId="0">
      <sharedItems containsMixedTypes="1" containsNumber="1" containsInteger="1" minValue="0" maxValue="0"/>
    </cacheField>
    <cacheField name="MODALIDAD SIAFI" numFmtId="0">
      <sharedItems containsMixedTypes="1" containsNumber="1" containsInteger="1" minValue="0" maxValue="12"/>
    </cacheField>
    <cacheField name="TRANSFERENCIAS" numFmtId="171">
      <sharedItems containsSemiMixedTypes="0" containsString="0" containsNumber="1" containsInteger="1" minValue="0" maxValue="125014362"/>
    </cacheField>
    <cacheField name="RECURSOS ADMINISTRADOS" numFmtId="0">
      <sharedItems containsSemiMixedTypes="0" containsString="0" containsNumber="1" containsInteger="1" minValue="0" maxValue="0"/>
    </cacheField>
    <cacheField name="TOTAL" numFmtId="171">
      <sharedItems containsSemiMixedTypes="0" containsString="0" containsNumber="1" containsInteger="1" minValue="0" maxValue="125014362"/>
    </cacheField>
    <cacheField name="CON VIABILIDAD PLANEACIÓN" numFmtId="0">
      <sharedItems containsSemiMixedTypes="0" containsString="0" containsNumber="1" containsInteger="1" minValue="0" maxValue="1"/>
    </cacheField>
    <cacheField name="EJECUCIÓN TRANSFERENCIAS" numFmtId="0">
      <sharedItems containsSemiMixedTypes="0" containsString="0" containsNumber="1" containsInteger="1" minValue="0" maxValue="125014362"/>
    </cacheField>
    <cacheField name="EJECUCIÓN RECURSOS PROPIOS" numFmtId="0">
      <sharedItems containsSemiMixedTypes="0" containsString="0" containsNumber="1" containsInteger="1" minValue="0" maxValue="0"/>
    </cacheField>
    <cacheField name="EJECUCIÓN TOTAL" numFmtId="0">
      <sharedItems containsSemiMixedTypes="0" containsString="0" containsNumber="1" containsInteger="1" minValue="0" maxValue="125014362"/>
    </cacheField>
    <cacheField name="Fecha Contrato" numFmtId="14">
      <sharedItems containsNonDate="0" containsDate="1" containsString="0" containsBlank="1" minDate="2017-01-31T00:00:00" maxDate="2017-06-01T00:00:00"/>
    </cacheField>
    <cacheField name="Fecha Ejecución Contrato" numFmtId="14">
      <sharedItems containsBlank="1" count="7">
        <s v="Mayo"/>
        <m/>
        <s v="Marzo"/>
        <s v="Enero"/>
        <s v="Abril"/>
        <s v="Febrero"/>
        <s v="junio" u="1"/>
      </sharedItems>
    </cacheField>
    <cacheField name="Pendiente por contratar" numFmtId="14">
      <sharedItems containsNonDate="0" containsString="0" containsBlank="1"/>
    </cacheField>
    <cacheField name="No. Contrato" numFmtId="0">
      <sharedItems containsMixedTypes="1" containsNumber="1" containsInteger="1" minValue="0" maxValue="80"/>
    </cacheField>
    <cacheField name="Nombre del Contratista" numFmtId="0">
      <sharedItems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0">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Avanzar en  (1) un Diseño del Sistema de seguimiento a la política educativa distrital en los contextos escolares."/>
    <s v="Avanzar en 0,25 de un Diseño del Sistema de seguimiento a la política educativa distrital en los contextos escolares."/>
    <s v="Diseño del Sistema de seguimiento a la política educativa distrital en los contextos escolares - Fase 2."/>
    <n v="164"/>
    <n v="0"/>
    <s v="Prestación de servicios profesionales para  realizar la  consolidación de referentes conceptuales del Sistema de Seguimiento a la política educativa distrital en los contextos escolares, Fase 2"/>
    <n v="80111621"/>
    <x v="0"/>
    <s v="Jorge Palacio"/>
    <x v="0"/>
    <x v="0"/>
    <x v="0"/>
    <n v="9"/>
    <s v="Directa"/>
    <s v="Directa"/>
    <n v="73033983"/>
    <n v="0"/>
    <n v="73033983"/>
    <n v="1"/>
    <n v="73033983"/>
    <n v="0"/>
    <n v="73033983"/>
    <d v="2017-02-28T00:00:00"/>
    <x v="0"/>
    <x v="0"/>
    <n v="18"/>
    <s v="OMAR PULIDO CHAVES"/>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Avanzar en  (1) un Diseño del Sistema de seguimiento a la política educativa distrital en los contextos escolares."/>
    <s v="Avanzar en 0,25 de un Diseño del Sistema de seguimiento a la política educativa distrital en los contextos escolares."/>
    <s v="Diseño del Sistema de seguimiento a la política educativa distrital en los contextos escolares - Fase 2."/>
    <n v="165"/>
    <n v="0"/>
    <s v="Prestación de servicios profesionales para  realizar la  consolidación de referentes metodológicos, técnicos e instrumentales del Sistema de Seguimiento a la política educativa distrital en los contextos escolares, Fase 2"/>
    <n v="80111621"/>
    <x v="0"/>
    <s v="Jorge Palacio"/>
    <x v="0"/>
    <x v="0"/>
    <x v="0"/>
    <n v="9"/>
    <s v="Directa"/>
    <s v="Directa"/>
    <n v="66394530"/>
    <n v="0"/>
    <n v="66394530"/>
    <n v="1"/>
    <n v="66394530"/>
    <n v="0"/>
    <n v="66394530"/>
    <d v="2017-02-28T00:00:00"/>
    <x v="0"/>
    <x v="0"/>
    <n v="19"/>
    <s v="GABRIEL TORRES VARGAS"/>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Avanzar en  (1) un Diseño del Sistema de seguimiento a la política educativa distrital en los contextos escolares."/>
    <s v="Avanzar en 0,25 de un Diseño del Sistema de seguimiento a la política educativa distrital en los contextos escolares."/>
    <s v="Diseño del Sistema de seguimiento a la política educativa distrital en los contextos escolares - Fase 2."/>
    <n v="204"/>
    <n v="0"/>
    <s v="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n v="80111601"/>
    <x v="1"/>
    <s v="Juliana Gutiérrez"/>
    <x v="0"/>
    <x v="1"/>
    <x v="0"/>
    <n v="8"/>
    <s v="Directa"/>
    <s v="Directa"/>
    <n v="47113721"/>
    <n v="0"/>
    <n v="47113721"/>
    <n v="1"/>
    <n v="47113721"/>
    <n v="0"/>
    <n v="47113721"/>
    <d v="2017-04-18T00:00:00"/>
    <x v="1"/>
    <x v="0"/>
    <n v="45"/>
    <s v="CAJA DE COMPENSACIÓN FAMILIAR COMPENSAR"/>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Avanzar en  (1) un Diseño del Sistema de seguimiento a la política educativa distrital en los contextos escolares."/>
    <s v="Avanzar en 0,25 de un Diseño del Sistema de seguimiento a la política educativa distrital en los contextos escolares."/>
    <s v="Diseño del Sistema de seguimiento a la política educativa distrital en los contextos escolares - Fase 2."/>
    <n v="166"/>
    <n v="0"/>
    <s v="Prestación de servicios profesionales para implementar la estrategia de comunicación y gestión del conocimiento, en el marco del Diseño del Sistema de Seguimiento a la política educativa distrital en los contextos escolares, Fase 2."/>
    <n v="80111601"/>
    <x v="2"/>
    <s v="Jorge Palacio"/>
    <x v="0"/>
    <x v="1"/>
    <x v="0"/>
    <n v="9"/>
    <s v="Directa"/>
    <s v="Directa"/>
    <n v="70329021"/>
    <n v="0"/>
    <n v="70329021"/>
    <n v="1"/>
    <n v="70329021"/>
    <n v="0"/>
    <n v="70329021"/>
    <d v="2017-03-27T00:00:00"/>
    <x v="2"/>
    <x v="0"/>
    <n v="39"/>
    <s v="MIGUEL ANGEL VARGAS HERNANDEZ"/>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cinco (5) estudios Sistema de seguimiento a la política educativa distrital en los contextos escolares."/>
    <s v="Realizar un (1) estudio Sistema de seguimiento a la política educativa distrital en los contextos escolares."/>
    <s v="Estudio Sistema de seguimiento a la política educativa distrital en los contextos escolares -Fase 2"/>
    <n v="125"/>
    <n v="0"/>
    <s v="Prestación de servicios profesionales  para aplicar la metodología de Evaluación  de impacto a proyectos de investigación del IDEP Fase 2, seleccionados en la vigencia 2016."/>
    <n v="80111621"/>
    <x v="3"/>
    <s v="Luisa Acuña"/>
    <x v="0"/>
    <x v="0"/>
    <x v="0"/>
    <n v="4"/>
    <s v="Directa"/>
    <s v="Directa"/>
    <n v="26557812"/>
    <n v="0"/>
    <n v="26557812"/>
    <n v="1"/>
    <n v="26557812"/>
    <n v="0"/>
    <n v="26557812"/>
    <d v="2017-02-27T00:00:00"/>
    <x v="0"/>
    <x v="0"/>
    <n v="8"/>
    <s v="GLADYS AMAYA ROSARIO"/>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cinco (5) estudios Sistema de seguimiento a la política educativa distrital en los contextos escolares."/>
    <s v="Realizar un (1) estudio Sistema de seguimiento a la política educativa distrital en los contextos escolares."/>
    <s v="Estudio Sistema de seguimiento a la política educativa distrital en los contextos escolares -Fase 3"/>
    <n v="126"/>
    <n v="0"/>
    <s v="Prestación de servicios profesionales  para realizar la revisión, ajuste y aplicación de la metodología de Evaluación  de impacto a proyectos de investigación del IDEP, seleccionados en la vigencia 2017."/>
    <n v="80111621"/>
    <x v="4"/>
    <s v="Martha Cuevas"/>
    <x v="0"/>
    <x v="2"/>
    <x v="0"/>
    <n v="5"/>
    <s v="Directa"/>
    <s v="Directa"/>
    <n v="33197265"/>
    <n v="0"/>
    <n v="33197265"/>
    <n v="0"/>
    <n v="0"/>
    <n v="0"/>
    <n v="0"/>
    <m/>
    <x v="3"/>
    <x v="0"/>
    <n v="0"/>
    <n v="0"/>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cinco (5) estudios Sistema de seguimiento a la política educativa distrital en los contextos escolares."/>
    <s v="Realizar un (1) estudio Sistema de seguimiento a la política educativa distrital en los contextos escolares."/>
    <s v="Estudio Sistema de seguimiento a la política educativa distrital en los contextos escolares -Fase 4"/>
    <n v="167"/>
    <n v="0"/>
    <s v="Prestación de servicios profesionales para realizar el análisis cuantitativo de  la consulta a las fuentes primarias y el análisis documental de  fuentes secundarias del programa Calidad Educativa para Todos, en la primera aplicación del  Sistema de seguimiento a la política educativa distrital en los contextos escolares, Fase 2 "/>
    <n v="80111621"/>
    <x v="0"/>
    <s v="Jorge Palacio"/>
    <x v="0"/>
    <x v="0"/>
    <x v="0"/>
    <n v="9"/>
    <s v="Directa"/>
    <s v="Directa"/>
    <n v="59755077"/>
    <n v="0"/>
    <n v="59755077"/>
    <n v="1"/>
    <n v="59755077"/>
    <n v="0"/>
    <n v="59755077"/>
    <d v="2017-02-28T00:00:00"/>
    <x v="0"/>
    <x v="0"/>
    <n v="16"/>
    <s v="JULIAN ROSERO NAVARRETE"/>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cinco (5) estudios Sistema de seguimiento a la política educativa distrital en los contextos escolares."/>
    <s v="Realizar un (1) estudio Sistema de seguimiento a la política educativa distrital en los contextos escolares."/>
    <s v="Estudio Sistema de seguimiento a la política educativa distrital en los contextos escolares -Fase 5"/>
    <n v="168"/>
    <n v="0"/>
    <s v="Prestación de servicios profesionales para realizar el análisis cualitativo de  la consulta a las fuentes primarias y el análisis documental de  fuentes secundarias del programa Calidad Educativa para Todos, en la primera aplicación del  Sistema de seguimiento a la política educativa distrital en los contextos escolares, Fase 2"/>
    <n v="80111621"/>
    <x v="0"/>
    <s v="Jorge Palacio"/>
    <x v="0"/>
    <x v="0"/>
    <x v="0"/>
    <n v="9"/>
    <s v="Directa"/>
    <s v="Directa"/>
    <n v="59755077"/>
    <n v="0"/>
    <n v="59755077"/>
    <n v="1"/>
    <n v="59755077"/>
    <n v="0"/>
    <n v="59755077"/>
    <d v="2017-02-28T00:00:00"/>
    <x v="0"/>
    <x v="0"/>
    <n v="15"/>
    <s v="LUIS ROJAS GARCIA"/>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cinco (5) estudios Sistema de seguimiento a la política educativa distrital en los contextos escolares."/>
    <s v="Realizar un (1) estudio Sistema de seguimiento a la política educativa distrital en los contextos escolares."/>
    <s v="Estudio Sistema de seguimiento a la política educativa distrital en los contextos escolares -Fase 6"/>
    <n v="173"/>
    <n v="0"/>
    <s v="Prestación de servicios profesionales para realizar el análisis cualitativo y cuantitativo de  la consulta a las fuentes primarias y el análisis documental de  fuentes secundarias del programa Equipo para el reencuentro, la reconciliación y la paz, en la primera aplicación del  Sistema de seguimiento a la política educativa distrital en los contextos escolares, Fase 2"/>
    <n v="80111622"/>
    <x v="0"/>
    <s v="Jorge Palacio"/>
    <x v="0"/>
    <x v="0"/>
    <x v="0"/>
    <n v="9"/>
    <s v="Directa"/>
    <s v="Directa"/>
    <n v="59755077"/>
    <n v="0"/>
    <n v="59755077"/>
    <n v="1"/>
    <n v="59755077"/>
    <n v="0"/>
    <n v="59755077"/>
    <d v="2017-02-28T00:00:00"/>
    <x v="0"/>
    <x v="0"/>
    <n v="14"/>
    <s v="LINA VARGAS ALVAREZ"/>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cinco (5) estudios Sistema de seguimiento a la política educativa distrital en los contextos escolares."/>
    <s v="Realizar un (1) estudio Sistema de seguimiento a la política educativa distrital en los contextos escolares."/>
    <s v="Estudio Sistema de seguimiento a la política educativa distrital en los contextos escolares -Fase 7"/>
    <n v="51"/>
    <n v="0"/>
    <s v="Prestación de servicios profesionales para  realizar la  articulación de acciones y consolidación de resultados, en la primera aplicación del  Sistema de seguimiento a la política educativa distrital en los contextos escolares, Fase 2"/>
    <n v="80111621"/>
    <x v="0"/>
    <s v="Jorge Palacio"/>
    <x v="0"/>
    <x v="0"/>
    <x v="0"/>
    <n v="9"/>
    <s v="Directa"/>
    <s v="Directa"/>
    <n v="73033983"/>
    <n v="0"/>
    <n v="73033983"/>
    <n v="1"/>
    <n v="73033983"/>
    <n v="0"/>
    <n v="73033983"/>
    <d v="2017-03-02T00:00:00"/>
    <x v="2"/>
    <x v="0"/>
    <n v="20"/>
    <s v="MARTHA VIVES HURTADO"/>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13) Estudios en Escuela currículo y pedagogía, Educación y políticas públicas y Cualificación docente"/>
    <s v="Realizar 3 Estudios  Escuela currículo y pedagogía,  Educación y Políticas Públicas y  en Cualificación docente."/>
    <s v="Estudio Sistema de seguimiento a la política educativa distrital en los contextos escolares -Fase 8"/>
    <n v="276"/>
    <n v="0"/>
    <s v="Prestación de servicios profesionales para apoyar los procesos académicos relacionados con la indagación cualitativa, cuantitativa y mixta, en las líneas estratégicas de Calidad Educativa para Todos y Equipo por la Educación para el Reencuentro, la Reconciliación y la Paz,  en el marco de la primera aplicación del  Sistema de seguimiento a la política educativa distrital en los contextos escolares, Fase 2."/>
    <n v="80111621"/>
    <x v="0"/>
    <s v="Jorge Palacio"/>
    <x v="0"/>
    <x v="2"/>
    <x v="0"/>
    <n v="5"/>
    <s v="Directa"/>
    <s v="Directa"/>
    <n v="206500000"/>
    <n v="0"/>
    <n v="206500000"/>
    <n v="0"/>
    <n v="0"/>
    <n v="0"/>
    <n v="0"/>
    <m/>
    <x v="3"/>
    <x v="0"/>
    <n v="0"/>
    <n v="0"/>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13) Estudios en Escuela currículo y pedagogía, Educación y políticas públicas y Cualificación docente"/>
    <s v="Realizar 3 Estudios  Escuela currículo y pedagogía,  Educación y Políticas Públicas y  en Cualificación docente."/>
    <s v="Estudio Sistema de seguimiento a la política educativa distrital en los contextos escolares -Fase 9"/>
    <n v="53"/>
    <n v="0"/>
    <s v="Prestación de servicios profesionales para brindar apoyo administrativo en los procesos y procedimientos desarrollados en el Estudio Sistema de seguimiento a la política educativa distrital en los contextos escolares - Fase 2."/>
    <n v="80111601"/>
    <x v="0"/>
    <s v="Jorge Palacio"/>
    <x v="0"/>
    <x v="3"/>
    <x v="0"/>
    <n v="11"/>
    <s v="Directa"/>
    <s v="Directa"/>
    <n v="40574435"/>
    <n v="0"/>
    <n v="40574435"/>
    <n v="1"/>
    <n v="40574435"/>
    <n v="0"/>
    <n v="40574435"/>
    <d v="2017-01-31T00:00:00"/>
    <x v="4"/>
    <x v="0"/>
    <n v="2"/>
    <s v="MARISOL HERNANDEZ"/>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13) Estudios en Escuela currículo y pedagogía, Educación y políticas públicas y Cualificación docente"/>
    <s v="Realizar 3 Estudios  Escuela currículo y pedagogía,  Educación y Políticas Públicas y  en Cualificación docente."/>
    <s v="Estudio Escuela Curriculo y Pedagogía"/>
    <n v="131"/>
    <n v="0"/>
    <s v="Prestación de servicios profesionales para efectuar un estudio de la línea de investigación de Escuela, currículo y pedagogía"/>
    <n v="80111621"/>
    <x v="4"/>
    <n v="0"/>
    <x v="0"/>
    <x v="2"/>
    <x v="0"/>
    <n v="9"/>
    <s v="Directa"/>
    <s v="Directa"/>
    <n v="0"/>
    <n v="0"/>
    <n v="0"/>
    <n v="0"/>
    <n v="0"/>
    <n v="0"/>
    <n v="0"/>
    <m/>
    <x v="3"/>
    <x v="0"/>
    <n v="0"/>
    <n v="0"/>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13) Estudios en Escuela currículo y pedagogía, Educación y políticas públicas y Cualificación docente"/>
    <s v="Realizar 3 Estudios  Escuela currículo y pedagogía,  Educación y Políticas Públicas y  en Cualificación docente."/>
    <s v="Estudio Escuela Currículo y Pedagogía: Monitoreo y seguimiento a las experiencias escolares asociadas a la línea estratégica del Plan Sectorial de Educación “Equipo por la Educación para el reencuentro, la Reconciliación y la Paz”"/>
    <n v="277"/>
    <n v="0"/>
    <s v="Prestación de servicios profesionales para efectuar el seguimiento a las experiencias escolares asociadas a la línea estratégica del Plan Sectorial de Educación “Equipo por la Educación para el reencuentro, la Reconciliación y la Paz”"/>
    <n v="80111621"/>
    <x v="5"/>
    <s v="María Isabel Ramírez"/>
    <x v="0"/>
    <x v="2"/>
    <x v="0"/>
    <n v="6"/>
    <s v="Directa"/>
    <s v="Directa"/>
    <n v="100000000"/>
    <n v="0"/>
    <n v="100000000"/>
    <n v="0"/>
    <n v="0"/>
    <n v="0"/>
    <n v="0"/>
    <m/>
    <x v="3"/>
    <x v="0"/>
    <n v="0"/>
    <n v="0"/>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13) Estudios en Escuela currículo y pedagogía, Educación y políticas públicas y Cualificación docente"/>
    <s v="Realizar (13) Estudios en Escuela currículo y pedagogía, Educación y políticas públicas y Cualificación docente"/>
    <s v="Estudio Educación y Políticas Publicas: Abordaje de Maternidad y Paternidad Fase II"/>
    <n v="206"/>
    <n v="0"/>
    <s v="Prestación de servicios profesionales para realizar la revisión y análisis de datos estadísticos de diferentes fuentes secundarias relacionadas con temas de sexualidad para el estudio “Abordaje integral de la maternidad y la paternidad tempranas en el contexto escolar – fase II. Elaboración de un cuerpo de indicadores”, en el marco del Convenio 1452 de 2017 en su Componente 2."/>
    <n v="80111621"/>
    <x v="4"/>
    <s v="Martha Cuevas"/>
    <x v="0"/>
    <x v="1"/>
    <x v="0"/>
    <n v="4"/>
    <s v="Directa"/>
    <s v="Directa"/>
    <n v="0"/>
    <n v="19918359"/>
    <n v="19918359"/>
    <n v="1"/>
    <n v="0"/>
    <n v="19918359"/>
    <n v="19918359"/>
    <d v="2017-04-27T00:00:00"/>
    <x v="1"/>
    <x v="0"/>
    <n v="66"/>
    <s v="JHON CALDERON RODRIGUEZ"/>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13) Estudios en Escuela currículo y pedagogía, Educación y políticas públicas y Cualificación docente"/>
    <s v="Realizar (13) Estudios en Escuela currículo y pedagogía, Educación y políticas públicas y Cualificación docente"/>
    <s v="Estudio Educación y Políticas Publicas: Abordaje de Maternidad y Paternidad Fase II"/>
    <n v="207"/>
    <n v="0"/>
    <s v="Prestación de servicios profesionales para orientar académicamente, desde una perspectiva cualitativa, el estudio “Abordaje integral de la maternidad y la paternidad tempranas en el contexto escolar – fase II. Elaboración de un cuerpo de indicadores”, en el marco del Convenio 1452 de 2017 en su Componente 2."/>
    <n v="80111621"/>
    <x v="4"/>
    <s v="Martha Cuevas"/>
    <x v="0"/>
    <x v="4"/>
    <x v="0"/>
    <n v="4"/>
    <s v="Directa"/>
    <s v="Directa"/>
    <n v="0"/>
    <n v="27590616"/>
    <n v="27590616"/>
    <n v="1"/>
    <n v="0"/>
    <n v="27590616"/>
    <n v="27590616"/>
    <d v="2017-05-26T00:00:00"/>
    <x v="5"/>
    <x v="0"/>
    <n v="88"/>
    <s v="LILA BEATRIZ PINTO BORREGO"/>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13) Estudios en Escuela currículo y pedagogía, Educación y políticas públicas y Cualificación docente"/>
    <s v="Realizar (13) Estudios en Escuela currículo y pedagogía, Educación y políticas públicas y Cualificación docente"/>
    <s v="Estudio Educación y Políticas Publicas: Abordaje de Maternidad y Paternidad Fase II"/>
    <n v="208"/>
    <n v="0"/>
    <s v="Prestación de servicios profesionales para orientar académicamente, desde una perspectiva cuantitativa, el estudio “Abordaje integral de la maternidad y la paternidad tempranas en el contexto escolar – fase II. Elaboración de un cuerpo de indicadores”, en el marco del Convenio 1452 de 2017 en su Componente 2."/>
    <n v="80111621"/>
    <x v="4"/>
    <s v="Martha Cuevas"/>
    <x v="0"/>
    <x v="4"/>
    <x v="0"/>
    <n v="4"/>
    <s v="Directa"/>
    <s v="Directa"/>
    <n v="0"/>
    <n v="27590616"/>
    <n v="27590616"/>
    <n v="1"/>
    <n v="0"/>
    <n v="27590616"/>
    <n v="27590616"/>
    <d v="2017-05-08T00:00:00"/>
    <x v="5"/>
    <x v="0"/>
    <n v="75"/>
    <s v="MARINA BERNAL GOMEZ"/>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13) Estudios en Escuela currículo y pedagogía, Educación y políticas públicas y Cualificación docente"/>
    <s v="Realizar (13) Estudios en Escuela currículo y pedagogía, Educación y políticas públicas y Cualificación docente"/>
    <s v="Estudio Educación y Políticas Publicas: Abordaje de Maternidad y Paternidad Fase II"/>
    <n v="209"/>
    <n v="0"/>
    <s v="Prestación de servicios profesionales para la construcción de indicadores e instrumentos cualitativos del estudio “Abordaje integral de la maternidad y la paternidad tempranas en el contexto escolar – fase II. Elaboración de un cuerpo de indicadores”, en el marco del Convenio 1452 del 17 de marzo de 2017 en su Componente 2."/>
    <n v="80111621"/>
    <x v="4"/>
    <s v="Martha Cuevas"/>
    <x v="0"/>
    <x v="4"/>
    <x v="0"/>
    <n v="4"/>
    <s v="Directa"/>
    <s v="Directa"/>
    <n v="14936309"/>
    <n v="4982050"/>
    <n v="19918359"/>
    <n v="1"/>
    <n v="14936309"/>
    <n v="4982050"/>
    <n v="19918359"/>
    <d v="2017-05-08T00:00:00"/>
    <x v="5"/>
    <x v="0"/>
    <n v="74"/>
    <s v="ALEJANDRA QUINTANA MARTINEZ"/>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13) Estudios en Escuela currículo y pedagogía, Educación y políticas públicas y Cualificación docente"/>
    <s v="Realizar (13) Estudios en Escuela currículo y pedagogía, Educación y políticas públicas y Cualificación docente"/>
    <s v="Estudio Educación y Políticas Publicas: Abordaje de Maternidad y Paternidad Fase II"/>
    <n v="210"/>
    <n v="0"/>
    <s v="Prestación de servicios profesionales para la construcción de indicadores e instrumentos cuantitativos del estudio “Abordaje integral de la maternidad y la paternidad tempranas en el contexto escolar – fase II. Elaboración de un cuerpo de indicadores”, en el marco del Convenio 1452 de 2017 en su Componente 2."/>
    <n v="80111621"/>
    <x v="4"/>
    <s v="Martha Cuevas"/>
    <x v="0"/>
    <x v="4"/>
    <x v="0"/>
    <n v="4"/>
    <s v="Directa"/>
    <s v="Directa"/>
    <n v="0"/>
    <n v="19918359"/>
    <n v="19918359"/>
    <n v="1"/>
    <n v="0"/>
    <n v="19918359"/>
    <n v="19918359"/>
    <d v="2017-05-09T00:00:00"/>
    <x v="5"/>
    <x v="0"/>
    <n v="76"/>
    <s v="ANA MARIA GIRALDO VARGAS"/>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13) Estudios en Escuela currículo y pedagogía, Educación y políticas públicas y Cualificación docente"/>
    <s v="Realizar (13) Estudios en Escuela currículo y pedagogía, Educación y políticas públicas y Cualificación docente"/>
    <s v="Estudio Educación y Políticas Publicas: Abordaje de Maternidad y Paternidad Fase II"/>
    <n v="230"/>
    <n v="0"/>
    <s v="Prestación de servicios profesionales para realizar la gestión administrativa dentro del estudio &quot;Abordaje integral de la maternidad y la paternidad tempranas en el contexto escolar – fase II. Elaboración de un cuerpo de indicadores”, en el marco del Convenio 1452 de 2017 en su Componente 2."/>
    <n v="80111621"/>
    <x v="4"/>
    <s v="Martha Cuevas"/>
    <x v="0"/>
    <x v="1"/>
    <x v="0"/>
    <n v="4"/>
    <s v="Directa"/>
    <s v="Directa"/>
    <n v="14754340"/>
    <n v="0"/>
    <n v="14754340"/>
    <n v="1"/>
    <n v="14754340"/>
    <n v="0"/>
    <n v="14754340"/>
    <d v="2017-04-24T00:00:00"/>
    <x v="1"/>
    <x v="0"/>
    <n v="56"/>
    <s v="ANA LUCIA FLOREZ GALVIS"/>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Realizar (13) Estudios en Escuela currículo y pedagogía, Educación y políticas públicas y Cualificación docente"/>
    <s v="Realizar (13) Estudios en Escuela currículo y pedagogía, Educación y políticas públicas y Cualificación docente"/>
    <s v="Estudio Educación y Políticas Publicas: Abordaje de Maternidad y Paternidad Fase II"/>
    <n v="246"/>
    <n v="0"/>
    <s v="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
    <n v="80111621"/>
    <x v="5"/>
    <s v="María Isabel Ramírez"/>
    <x v="0"/>
    <x v="4"/>
    <x v="0"/>
    <n v="7"/>
    <s v="Directa"/>
    <s v="Directa"/>
    <n v="3309351"/>
    <n v="0"/>
    <n v="3309351"/>
    <n v="0"/>
    <n v="3309351"/>
    <n v="0"/>
    <n v="3309351"/>
    <d v="2017-05-16T00:00:00"/>
    <x v="5"/>
    <x v="0"/>
    <d v="2017-05-16T00:00:00"/>
    <s v="CORPORACION MIXTA PARA LA INVESTIGACION Y DESARROLLO DE LA EDUCACION - CORPOEDUCACION"/>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Desarrollar una (1) estrategia de Comunicación, socialización y divulgación: Componente 1"/>
    <s v="Desarrollar una (1) estrategia de Comunicación, socialización y divulgación: Componente 1"/>
    <s v="Estudio Educación y Polìticas Publicas: Sistema de Monitoreo de los Estandars de Calidad en Educación inicial"/>
    <n v="212"/>
    <n v="0"/>
    <s v="Prestación de servicios profesionales para la articulación y consolidación de la información producida durante el desarrollo del estudio de elaboración y aplicación de un sistema de monitoreo al cumplimiento de los estándares de calidad en Educación Inicial, en el marco del Convenio 1452 de 2017 en su componente 3."/>
    <n v="80111601"/>
    <x v="4"/>
    <s v="Martha Cuevas"/>
    <x v="0"/>
    <x v="4"/>
    <x v="0"/>
    <n v="8"/>
    <s v="Directa"/>
    <s v="Directa"/>
    <n v="0"/>
    <n v="64919096"/>
    <n v="64919096"/>
    <n v="1"/>
    <n v="0"/>
    <n v="64919096"/>
    <n v="64919096"/>
    <d v="2017-04-26T00:00:00"/>
    <x v="1"/>
    <x v="0"/>
    <n v="63"/>
    <s v="LUZ MARIBEL PAEZ MENDIETA"/>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Desarrollar una (1) estrategia de Comunicación, socialización y divulgación: Componente 1"/>
    <s v="Desarrollar una (1) estrategia de Comunicación, socialización y divulgación: Componente 1"/>
    <s v="Estudio Educación y Polìticas Publicas: Sistema de Monitoreo de los Estandars de Calidad en Educación inicial"/>
    <n v="213"/>
    <n v="0"/>
    <s v="Prestación de servicios profesionales para el ajuste, validación de la metodología, monitoreo a la aplicación, análisis e interpretación de resultados de instrumentos cuantitativos del estudio de elaboración y aplicación de un sistema de monitoreo al cumplimiento de los estándares de calidad en Educación Inicial, en el marco del Convenio 1452 de 2017 en su componente 3."/>
    <n v="80111601"/>
    <x v="4"/>
    <s v="Martha Cuevas"/>
    <x v="0"/>
    <x v="4"/>
    <x v="0"/>
    <n v="7"/>
    <s v="Directa"/>
    <s v="Directa"/>
    <n v="0"/>
    <n v="46476171"/>
    <n v="46476171"/>
    <n v="1"/>
    <n v="0"/>
    <n v="46476171"/>
    <n v="46476171"/>
    <d v="2017-04-26T00:00:00"/>
    <x v="1"/>
    <x v="0"/>
    <n v="62"/>
    <s v="GLORIA DIMATE CASTELLANOS"/>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Desarrollar una (1) estrategia de Comunicación, socialización y divulgación: Componente 1"/>
    <s v="Desarrollar una (1) estrategia de Comunicación, socialización y divulgación: Componente 1"/>
    <s v="Estudio Educación y Polìticas Publicas: Sistema de Monitoreo de los Estandars de Calidad en Educación inicial"/>
    <n v="214"/>
    <n v="0"/>
    <s v="Prestación de servicios profesionales para el desarrollo, ajuste, monitoreo a la aplicación, análisis e interpretación de resultados de instrumentos cualitativos complementarios del estudio de elaboración y aplicación de un sistema de monitoreo al cumplimiento de los estándares de calidad en Educación Inicial, en el marco del Convenio 1452 de 2017 en su componente 3."/>
    <n v="80111601"/>
    <x v="4"/>
    <s v="Martha Cuevas"/>
    <x v="0"/>
    <x v="4"/>
    <x v="0"/>
    <n v="7"/>
    <s v="Directa"/>
    <s v="Directa"/>
    <n v="0"/>
    <n v="46476171"/>
    <n v="46476171"/>
    <n v="1"/>
    <n v="0"/>
    <n v="46476171"/>
    <n v="46476171"/>
    <d v="2017-04-26T00:00:00"/>
    <x v="1"/>
    <x v="0"/>
    <n v="61"/>
    <s v="ADRIANA CASTRO ROJAS"/>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Desarrollar una (1) estrategia de Comunicación, socialización y divulgación: Componente 1"/>
    <s v="Desarrollar una (1) estrategia de Comunicación, socialización y divulgación: Componente 1"/>
    <s v="Estudio Educación y Polìticas Publicas: Sistema de Monitoreo de los Estandars de Calidad en Educación inicial"/>
    <n v="215"/>
    <n v="0"/>
    <s v="Prestación de servicios profesionales para elaborar, implementar, evaluar y validar las estrategias operativa, comunicativa y de movilización social del estudio de elaboración y aplicación de un sistema de monitoreo al cumplimiento de los estándares de calidad en Educación Inicial, en el marco del Convenio 1452 de 2017 en su componente 3."/>
    <n v="80111601"/>
    <x v="4"/>
    <s v="Martha Cuevas"/>
    <x v="0"/>
    <x v="4"/>
    <x v="0"/>
    <n v="7"/>
    <s v="Directa"/>
    <s v="Directa"/>
    <n v="0"/>
    <n v="46476171"/>
    <n v="46476171"/>
    <n v="1"/>
    <n v="0"/>
    <n v="46476171"/>
    <n v="46476171"/>
    <d v="2017-04-27T00:00:00"/>
    <x v="1"/>
    <x v="0"/>
    <n v="65"/>
    <s v="ADRIANA MOLANO VARGAS"/>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Desarrollar una (1) estrategia de Comunicación, socialización y divulgación: Componente 1"/>
    <s v="Desarrollar una (1) estrategia de Comunicación, socialización y divulgación: Componente 1"/>
    <s v="Estudio Educación y Polìticas Publicas: Sistema de Monitoreo de los Estandars de Calidad en Educación inicial"/>
    <n v="216"/>
    <n v="0"/>
    <s v="Prestación de servicios profesionales para preparar, implementar y evaluar la estrategia de gestión de la información y del conocimiento del estudio de elaboración y aplicación de un sistema de monitoreo al cumplimiento de los estándares de calidad en Educación Inicial en el marco del Convenio 1452 del 17 de marzo de 2017 en su componente 3."/>
    <n v="80111601"/>
    <x v="4"/>
    <s v="Martha Cuevas"/>
    <x v="0"/>
    <x v="1"/>
    <x v="0"/>
    <n v="7"/>
    <s v="Directa"/>
    <s v="Directa"/>
    <n v="0"/>
    <n v="46476171"/>
    <n v="46476171"/>
    <n v="1"/>
    <n v="0"/>
    <n v="46476171"/>
    <n v="46476171"/>
    <d v="2017-04-27T00:00:00"/>
    <x v="1"/>
    <x v="0"/>
    <n v="67"/>
    <s v="RAFAEL CANO RAMIREZ"/>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Desarrollar una (1) estrategia de Comunicación, socialización y divulgación: Componente 1"/>
    <s v="Desarrollar una (1) estrategia de Comunicación, socialización y divulgación: Componente 1"/>
    <s v="Estudio Educación y Polìticas Publicas: Sistema de Monitoreo de los Estandars de Calidad en Educación inicial"/>
    <n v="217"/>
    <n v="0"/>
    <s v="Prestación de servicios profesionales para apoyar en la gestión administrativa del estudio de elaboración y aplicación de un sistema de monitoreo al cumplimiento de los estándares de calidad en Educación Inicial, en el marco del Convenio 1452 de 2017 en su componente 3"/>
    <n v="80111601"/>
    <x v="4"/>
    <s v="Martha Cuevas"/>
    <x v="0"/>
    <x v="4"/>
    <x v="0"/>
    <n v="8"/>
    <s v="Directa"/>
    <s v="Directa"/>
    <n v="0"/>
    <n v="28770963"/>
    <n v="28770963"/>
    <n v="1"/>
    <n v="0"/>
    <n v="28770963"/>
    <n v="28770963"/>
    <d v="2017-04-19T00:00:00"/>
    <x v="1"/>
    <x v="0"/>
    <n v="47"/>
    <s v="JOHN RINCON HOLGUIN"/>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Desarrollar una (1) estrategia de Comunicación, socialización y divulgación: Componente 1"/>
    <s v="Desarrollar una (1) estrategia de Comunicación, socialización y divulgación: Componente 1"/>
    <s v="Estudio Educación y Polìticas Publicas: Sistema de Monitoreo de los Estandars de Calidad en Educación inicial"/>
    <n v="281"/>
    <n v="0"/>
    <s v="Prestación de servicios profesionales para apoyar los procesos académicos relacionados con la indagación cualitativa y cuantitativa y la construcción de los planes de mejora de un sistema de monitoreo al cumplimiento de los estándares de calidad en Educación Inicial, en el marco del Convenio 1452 de 2017 en su componente 3."/>
    <n v="80111601"/>
    <x v="4"/>
    <s v="Martha Cuevas"/>
    <x v="0"/>
    <x v="2"/>
    <x v="0"/>
    <n v="6"/>
    <s v="Directa"/>
    <s v="Directa"/>
    <n v="0"/>
    <n v="200000000"/>
    <n v="200000000"/>
    <n v="0"/>
    <n v="0"/>
    <n v="0"/>
    <n v="0"/>
    <m/>
    <x v="3"/>
    <x v="0"/>
    <n v="0"/>
    <n v="0"/>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Desarrollar una (1) estrategia de Comunicación, socialización y divulgación: Componente 1"/>
    <s v="Desarrollar una (1) estrategia de Comunicación, socialización y divulgación: Componente 1"/>
    <s v="Estudio Educación y Polìticas Publicas: Sistema de Monitoreo de los Estandars de Calidad en Educación inicial"/>
    <n v="246"/>
    <n v="0"/>
    <s v="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
    <n v="80111601"/>
    <x v="5"/>
    <s v="María Isabel Ramírez"/>
    <x v="0"/>
    <x v="4"/>
    <x v="0"/>
    <n v="7"/>
    <s v="Directa"/>
    <s v="Directa"/>
    <n v="0"/>
    <n v="18405257"/>
    <n v="18405257"/>
    <n v="0"/>
    <n v="0"/>
    <n v="18405257"/>
    <n v="18405257"/>
    <d v="2017-05-16T00:00:00"/>
    <x v="5"/>
    <x v="0"/>
    <d v="2017-05-16T00:00:00"/>
    <s v="CORPORACION MIXTA PARA LA INVESTIGACION Y DESARROLLO DE LA EDUCACION - CORPOEDUCACION"/>
  </r>
  <r>
    <s v="1079  Investigación e innovación para el fortalecimiento de las comunidades de saber y práctica pedagógica."/>
    <e v="#REF!"/>
    <e v="#REF!"/>
    <s v="Desarrollar una (1) estrategia de Comunicación, socialización y divulgación: Componente 1"/>
    <s v="Desarrollar una (1) estrategia de Comunicación, socialización y divulgación: Componente 1"/>
    <s v="Proyectos Editoriales. Componente 1"/>
    <n v="139"/>
    <n v="0"/>
    <s v="Prestación de servicios para realizar la edición, el diseño y la diagramación de la Revista Educación y Ciudad."/>
    <n v="82111801"/>
    <x v="6"/>
    <s v="Diana Prada"/>
    <x v="0"/>
    <x v="5"/>
    <x v="0"/>
    <n v="9"/>
    <s v="Directa"/>
    <s v="Directa"/>
    <n v="25150000"/>
    <n v="0"/>
    <n v="25150000"/>
    <n v="1"/>
    <n v="25150000"/>
    <n v="0"/>
    <n v="25150000"/>
    <d v="2017-03-09T00:00:00"/>
    <x v="2"/>
    <x v="0"/>
    <n v="30"/>
    <s v="EDITORIAL MAGISTERIO"/>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Desarrollar una (1) estrategia de Comunicación, socialización y divulgación: Componente 1"/>
    <s v="Desarrollar una (1) estrategia de Comunicación, socialización y divulgación: Componente 1"/>
    <s v="Proyectos Editoriales. Componente 1"/>
    <n v="136"/>
    <n v="0"/>
    <s v="Prestación de servicios profesionales para realizar la edición del magazín &quot;Aula Urbana&quot;."/>
    <n v="82111801"/>
    <x v="6"/>
    <s v="Diana Prada"/>
    <x v="0"/>
    <x v="0"/>
    <x v="0"/>
    <n v="9"/>
    <s v="Directa"/>
    <s v="Directa"/>
    <n v="11035738"/>
    <n v="0"/>
    <n v="11035738"/>
    <n v="1"/>
    <n v="11035738"/>
    <n v="0"/>
    <n v="11035738"/>
    <d v="2017-02-28T00:00:00"/>
    <x v="0"/>
    <x v="0"/>
    <n v="12"/>
    <s v="JAVIER VARGAS ACOSTA"/>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Desarrollar una (1) estrategia de Comunicación, socialización y divulgación: Componente 1"/>
    <s v="Desarrollar una (1) estrategia de Comunicación, socialización y divulgación: Componente 1"/>
    <s v="Proyectos Editoriales. Componente 1"/>
    <n v="170"/>
    <n v="0"/>
    <s v="Prestación de servicios  para realizar el diseño y la diagramación del magazín &quot;Aula Urbana&quot;."/>
    <n v="82111801"/>
    <x v="6"/>
    <s v="Diana Prada"/>
    <x v="0"/>
    <x v="0"/>
    <x v="0"/>
    <n v="10"/>
    <s v="Directa"/>
    <s v="Directa"/>
    <n v="7734262"/>
    <n v="0"/>
    <n v="7734262"/>
    <n v="1"/>
    <n v="7734262"/>
    <n v="0"/>
    <n v="7734262"/>
    <d v="2017-03-10T00:00:00"/>
    <x v="2"/>
    <x v="0"/>
    <n v="32"/>
    <s v="ANDREA SARMIENTO BOHORQUEZ"/>
  </r>
  <r>
    <s v="1079  Investigación e innovación para el fortalecimiento de las comunidades de saber y práctica pedagógica."/>
    <s v="Codigo 383 _x000a_Un sistema de seguimiento a la Política Educativa Distrital en los contestos Escolare Ajustado e Implementado"/>
    <s v="Componente No.1 &quot;Sistema de Seguimiento a la política educativa distrital en los contextos escolares.&quot;"/>
    <s v="Desarrollar una (1) estrategia de Comunicación, socialización y divulgación: Componente 1"/>
    <s v="Desarrollar una (1) estrategia de Comunicación, socialización y divulgación: Componente 1"/>
    <s v="Proyectos Editoriales. Componente 1"/>
    <n v="138"/>
    <n v="0"/>
    <s v="Prestación de servicios para realizar la edición, el diseño y la diagramación de libros de la serie editorial del  IDEP. "/>
    <n v="82111801"/>
    <x v="6"/>
    <s v="Diana Prada"/>
    <x v="0"/>
    <x v="4"/>
    <x v="0"/>
    <n v="7"/>
    <s v="Directa"/>
    <s v="Directa"/>
    <n v="17040000"/>
    <n v="0"/>
    <n v="17040000"/>
    <n v="1"/>
    <n v="17040000"/>
    <n v="0"/>
    <n v="17040000"/>
    <d v="2017-05-05T00:00:00"/>
    <x v="5"/>
    <x v="0"/>
    <n v="72"/>
    <s v="TALLER DE EDICIÓN ROCCA S.A."/>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Avanzar en un (1 ) diseño de la Estrategia de Cualificación, investigación e Innovación docente: Comunidades de saber y de práctica pedagógica- Fase I"/>
    <s v="Avanzar en 0,25 de un Diseño de la Estrategia de Cualilficación, investigación e Innovación docente: Comunidades de saber y de práctica pedagógica- Fase I"/>
    <s v="Proyectos Editoriales. Componente 1"/>
    <n v="183"/>
    <n v="0"/>
    <s v="Prestación de servicios para la impresión de publicaciones del Instituto para la Investigación Educativa y el Desarrollo Pedagógico, IDEP"/>
    <n v="82111801"/>
    <x v="6"/>
    <s v="Diana Prada"/>
    <x v="0"/>
    <x v="4"/>
    <x v="0"/>
    <n v="9"/>
    <s v="Selección Abreviada -Subasta inversa"/>
    <s v="Selección Abreviada -Subasta inversa"/>
    <n v="26155250"/>
    <n v="0"/>
    <n v="26155250"/>
    <n v="1"/>
    <n v="26155250"/>
    <n v="0"/>
    <n v="26155250"/>
    <d v="2017-05-22T00:00:00"/>
    <x v="5"/>
    <x v="0"/>
    <n v="87"/>
    <s v="CI WARRIORS COMPANY S.A.S."/>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cinco (5) estudios de la Estrategia de cualificación, investigación e innovación docente: comunidades de saber y de práctica pedagógica&quot;"/>
    <s v="Realizar un (1) estudio de la  Estrategia de cualificación, investigación e innovación docente: comunidades de saber y de práctica pedagógica"/>
    <s v="Proyectos Editoriales. Componente 1"/>
    <n v="183"/>
    <n v="0"/>
    <s v="SALDO"/>
    <n v="0"/>
    <x v="7"/>
    <n v="0"/>
    <x v="0"/>
    <x v="6"/>
    <x v="1"/>
    <n v="0"/>
    <n v="0"/>
    <n v="0"/>
    <n v="6844750"/>
    <n v="0"/>
    <n v="6844750"/>
    <n v="0"/>
    <n v="0"/>
    <n v="0"/>
    <n v="0"/>
    <m/>
    <x v="3"/>
    <x v="0"/>
    <n v="0"/>
    <n v="0"/>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cinco (5) estudios de la Estrategia de cualificación, investigación e innovación docente: comunidades de saber y de práctica pedagógica&quot;"/>
    <s v="Realizar un (1) estudio de la  Estrategia de cualificación, investigación e innovación docente: comunidades de saber y de práctica pedagógica"/>
    <s v="Socialización y _x000a_Divulgación:Componente 1"/>
    <n v="140"/>
    <n v="0"/>
    <s v="Prestación de servicios profesionales para realizar el diseño y diagramación de piezas gráficas (impresas, audioviduales y digitales) del IDEP. "/>
    <n v="82141504"/>
    <x v="1"/>
    <s v="Juliana Gutiérrez"/>
    <x v="0"/>
    <x v="0"/>
    <x v="0"/>
    <n v="10"/>
    <s v="Directa"/>
    <s v="Directa"/>
    <n v="13295908"/>
    <n v="0"/>
    <n v="13295908"/>
    <n v="1"/>
    <n v="13295908"/>
    <n v="0"/>
    <n v="13295908"/>
    <d v="2017-02-28T00:00:00"/>
    <x v="0"/>
    <x v="0"/>
    <n v="13"/>
    <s v="GUSTAVO MARTINEZ"/>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cinco (5) estudios de la Estrategia de cualificación, investigación e innovación docente: comunidades de saber y de práctica pedagógica&quot;"/>
    <s v="Realizar un (1) estudio de la  Estrategia de cualificación, investigación e innovación docente: comunidades de saber y de práctica pedagógica"/>
    <s v="Socialización y _x000a_Divulgación:Componente 1"/>
    <n v="71"/>
    <n v="0"/>
    <s v="Prestación de servicios profesionales para apoyar la socialización académica e institucional y el seguimiento de la misma."/>
    <n v="80111621"/>
    <x v="4"/>
    <s v="Martha Cuevas"/>
    <x v="0"/>
    <x v="5"/>
    <x v="0"/>
    <n v="10"/>
    <s v="Directa"/>
    <s v="Directa"/>
    <n v="22717000"/>
    <n v="0"/>
    <n v="22717000"/>
    <n v="1"/>
    <n v="22717000"/>
    <n v="0"/>
    <n v="22717000"/>
    <d v="2017-03-03T00:00:00"/>
    <x v="2"/>
    <x v="0"/>
    <n v="21"/>
    <s v="NOHORA ROSO GUEVARA"/>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cinco (5) estudios de la Estrategia de cualificación, investigación e innovación docente: comunidades de saber y de práctica pedagógica&quot;"/>
    <s v="Realizar un (1) estudio de la  Estrategia de cualificación, investigación e innovación docente: comunidades de saber y de práctica pedagógica"/>
    <s v="Socialización y _x000a_Divulgación:Componente 1"/>
    <n v="184"/>
    <n v="0"/>
    <s v="Adición al contrato No. 68 de 2016 &quot; Prestación de servicios profesionales para el diseño de una estrategia de educomunicación institucional con el uso y desarrollo de  las  Tecnologías de la Información y la Comunicación, TIC&quot;. "/>
    <n v="80111621"/>
    <x v="4"/>
    <s v="Martha Cuevas"/>
    <x v="0"/>
    <x v="5"/>
    <x v="0"/>
    <n v="10"/>
    <s v="Directa"/>
    <s v="Directa"/>
    <n v="2439700"/>
    <n v="0"/>
    <n v="2439700"/>
    <n v="1"/>
    <n v="2439700"/>
    <n v="0"/>
    <n v="2439700"/>
    <d v="2017-03-10T00:00:00"/>
    <x v="2"/>
    <x v="0"/>
    <n v="68"/>
    <s v="LUISA TRUJILLO MARTINEZ"/>
  </r>
  <r>
    <s v="1080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cinco (5) estudios de la Estrategia de cualificación, investigación e innovación docente: comunidades de saber y de práctica pedagógica&quot;"/>
    <s v="Realizar un (1) estudio de la  Estrategia de cualificación, investigación e innovación docente: comunidades de saber y de práctica pedagógica"/>
    <s v="Socialización y _x000a_Divulgación:Componente 1"/>
    <n v="204"/>
    <n v="0"/>
    <s v="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
    <n v="80111601"/>
    <x v="1"/>
    <s v="Juliana Gutiérrez"/>
    <x v="0"/>
    <x v="5"/>
    <x v="0"/>
    <n v="8"/>
    <s v="Directa"/>
    <s v="Directa"/>
    <n v="76886771"/>
    <n v="0"/>
    <n v="76886771"/>
    <n v="1"/>
    <n v="76886771"/>
    <n v="0"/>
    <n v="76886771"/>
    <d v="2017-04-18T00:00:00"/>
    <x v="1"/>
    <x v="0"/>
    <n v="45"/>
    <s v="CAJA DE COMPENSACIÓN FAMILIAR COMPENSAR"/>
  </r>
  <r>
    <s v="1081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cinco (5) estudios de la Estrategia de cualificación, investigación e innovación docente: comunidades de saber y de práctica pedagógica&quot;"/>
    <s v="Realizar un (1) estudio de la  Estrategia de cualificación, investigación e innovación docente: comunidades de saber y de práctica pedagógica"/>
    <s v="Socialización y _x000a_Divulgación:Componente 1"/>
    <n v="204"/>
    <n v="0"/>
    <s v="SALDO"/>
    <n v="0"/>
    <x v="7"/>
    <n v="0"/>
    <x v="0"/>
    <x v="6"/>
    <x v="1"/>
    <n v="0"/>
    <n v="0"/>
    <n v="0"/>
    <n v="0"/>
    <n v="0"/>
    <n v="0"/>
    <n v="0"/>
    <n v="0"/>
    <n v="0"/>
    <n v="0"/>
    <m/>
    <x v="3"/>
    <x v="0"/>
    <n v="0"/>
    <n v="0"/>
  </r>
  <r>
    <s v="1082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cinco (5) estudios de la Estrategia de cualificación, investigación e innovación docente: comunidades de saber y de práctica pedagógica&quot;"/>
    <s v="Realizar un (1) estudio de la  Estrategia de cualificación, investigación e innovación docente: comunidades de saber y de práctica pedagógica"/>
    <s v="Socialización y _x000a_Divulgación:Componente 1"/>
    <n v="270"/>
    <n v="0"/>
    <s v="Membrecia anual (2017) al Consejo Latinoamericano de Ciencias Sociales- CLACSO"/>
    <n v="80111601"/>
    <x v="1"/>
    <s v="Juliana Gutiérrez"/>
    <x v="0"/>
    <x v="4"/>
    <x v="0"/>
    <n v="1"/>
    <s v="Directa"/>
    <s v="Directa"/>
    <n v="2932160"/>
    <n v="0"/>
    <n v="2932160"/>
    <n v="0"/>
    <n v="2932160"/>
    <n v="0"/>
    <n v="2932160"/>
    <d v="2017-05-19T00:00:00"/>
    <x v="5"/>
    <x v="0"/>
    <n v="4"/>
    <s v="CONSEJO LATINOAMERICANO DE CIENCIAS SOCIALES - CLACSO"/>
  </r>
  <r>
    <s v="1083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cinco (5) estudios de la Estrategia de cualificación, investigación e innovación docente: comunidades de saber y de práctica pedagógica&quot;"/>
    <s v="Realizar un (1) estudio de la  Estrategia de cualificación, investigación e innovación docente: comunidades de saber y de práctica pedagógica"/>
    <n v="0"/>
    <n v="0"/>
    <n v="0"/>
    <s v="sALDO"/>
    <n v="0"/>
    <x v="7"/>
    <n v="0"/>
    <x v="0"/>
    <x v="6"/>
    <x v="1"/>
    <n v="0"/>
    <n v="0"/>
    <n v="0"/>
    <n v="0"/>
    <n v="0"/>
    <n v="787290"/>
    <n v="0"/>
    <n v="0"/>
    <n v="0"/>
    <n v="0"/>
    <m/>
    <x v="3"/>
    <x v="0"/>
    <n v="0"/>
    <n v="0"/>
  </r>
  <r>
    <s v="1084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cinco (5) estudios de la Estrategia de cualificación, investigación e innovación docente: comunidades de saber y de práctica pedagógica&quot;"/>
    <s v="Realizar un (1) estudio de la  Estrategia de cualificación, investigación e innovación docente: comunidades de saber y de práctica pedagógica"/>
    <s v="Socialización y _x000a_Divulgación:Componente 1"/>
    <n v="172"/>
    <n v="0"/>
    <s v="Prestación de servicios profesionales para dar soporte a página web del IDEP y a la infraestructura tecnológica del instituto"/>
    <n v="81112103"/>
    <x v="1"/>
    <s v="Juliana Gutiérrez"/>
    <x v="0"/>
    <x v="5"/>
    <x v="0"/>
    <n v="10"/>
    <s v="Directa"/>
    <s v="Directa"/>
    <n v="30605075"/>
    <n v="0"/>
    <n v="30605075"/>
    <n v="1"/>
    <n v="30605075"/>
    <n v="0"/>
    <n v="30605075"/>
    <d v="2017-03-07T00:00:00"/>
    <x v="2"/>
    <x v="0"/>
    <n v="27"/>
    <s v="OSCAR LOZANO MANRIQUE"/>
  </r>
  <r>
    <s v="1085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cinco (5) estudios de la Estrategia de cualificación, investigación e innovación docente: comunidades de saber y de práctica pedagógica&quot;"/>
    <s v="Realizar un (1) estudio de la  Estrategia de cualificación, investigación e innovación docente: comunidades de saber y de práctica pedagógica"/>
    <s v="Socialización y _x000a_Divulgación:Componente 1"/>
    <n v="171"/>
    <n v="0"/>
    <s v="Prestación de servicios profesionales para la construcción de contenidos y efectuar las actividades de actualización de la página web del IDEP"/>
    <n v="83121702"/>
    <x v="6"/>
    <s v="Juliana Gutiérrez"/>
    <x v="0"/>
    <x v="5"/>
    <x v="0"/>
    <n v="2"/>
    <s v="Directa"/>
    <s v="Directa"/>
    <n v="8825010"/>
    <n v="0"/>
    <n v="8825010"/>
    <n v="1"/>
    <n v="8825010"/>
    <n v="0"/>
    <n v="8825010"/>
    <d v="2017-02-28T00:00:00"/>
    <x v="0"/>
    <x v="0"/>
    <n v="17"/>
    <s v="RICHAR ROMO GUACAS"/>
  </r>
  <r>
    <s v="1086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cinco (5) estudios de la Estrategia de cualificación, investigación e innovación docente: comunidades de saber y de práctica pedagógica&quot;"/>
    <s v="Realizar un (1) estudio de la  Estrategia de cualificación, investigación e innovación docente: comunidades de saber y de práctica pedagógica"/>
    <s v="Socialización y _x000a_Divulgación:Componente 1"/>
    <n v="174"/>
    <n v="0"/>
    <s v="Prestar servicios para difundir en televisión nacional abierta por medio de la serie “francisco el matemático”, las estrategias y campañas del distrito capital para la promoción de valores cívicos, competencias ciudadanas y autocuidado, que contribuyen al mejoramiento de la calidad de vida de la comunidad educativa del distrito y la ciudadanía en general, en el marco del plan de desarrollo “bogotá mejor para todos”"/>
    <n v="80111621"/>
    <x v="1"/>
    <s v="Juliana Gutiérrez"/>
    <x v="0"/>
    <x v="0"/>
    <x v="0"/>
    <n v="10"/>
    <s v="Directa"/>
    <s v="Directa"/>
    <n v="132905523"/>
    <n v="0"/>
    <n v="132905523"/>
    <n v="1"/>
    <n v="132905523"/>
    <n v="0"/>
    <n v="132905523"/>
    <d v="2017-03-10T00:00:00"/>
    <x v="2"/>
    <x v="0"/>
    <n v="33"/>
    <s v="RCN TELEVISIÓN"/>
  </r>
  <r>
    <s v="1088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cinco (5) estudios de la Estrategia de cualificación, investigación e innovación docente: comunidades de saber y de práctica pedagógica&quot;"/>
    <s v="Realizar un (1) estudio de la  Estrategia de cualificación, investigación e innovación docente: comunidades de saber y de práctica pedagógica"/>
    <s v="Prensa: Componente 1"/>
    <n v="146"/>
    <n v="0"/>
    <s v="Prestación de servicios profesionales para realizar acciones de comunicación en los canales y medios institucionales, difusión externa, prensa y manejo de  relaciones con medios de comunicación,  para la divulgación y socialización de las actividades realizadas por el IDEP"/>
    <s v="82111901_x000a__x000a_82111902"/>
    <x v="1"/>
    <n v="0"/>
    <x v="0"/>
    <x v="4"/>
    <x v="1"/>
    <n v="1"/>
    <s v="Directa"/>
    <s v="Directa"/>
    <n v="0"/>
    <n v="0"/>
    <n v="0"/>
    <n v="0"/>
    <n v="0"/>
    <n v="0"/>
    <n v="0"/>
    <m/>
    <x v="3"/>
    <x v="0"/>
    <m/>
    <n v="0"/>
  </r>
  <r>
    <s v="108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cinco (5) estudios de la Estrategia de cualificación, investigación e innovación docente: comunidades de saber y de práctica pedagógica&quot;"/>
    <s v="Realizar un (1) estudio de la  Estrategia de cualificación, investigación e innovación docente: comunidades de saber y de práctica pedagógica"/>
    <s v="Prensa: Componente 1"/>
    <n v="204"/>
    <n v="0"/>
    <s v="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
    <n v="82111902"/>
    <x v="1"/>
    <s v="Juliana Gutiérrez"/>
    <x v="0"/>
    <x v="5"/>
    <x v="0"/>
    <n v="8"/>
    <s v="Directa"/>
    <s v="Directa"/>
    <n v="1645582"/>
    <n v="0"/>
    <n v="1645582"/>
    <n v="1"/>
    <n v="1645582"/>
    <n v="0"/>
    <n v="1645582"/>
    <d v="2017-04-18T00:00:00"/>
    <x v="1"/>
    <x v="0"/>
    <n v="45"/>
    <s v="CAJA DE COMPENSACIÓN FAMILIAR COMPENSAR"/>
  </r>
  <r>
    <s v="1093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once (11) Estudios en Escuela currículo y pedagogía, Educación y políticas públicas y Cualificación docente del componente de cualificación, investigación e innovación docente: Comunidades de saber y de práctica pedagógica."/>
    <s v="Realizar tres (3) Estudios Escuela Curriculo y Pedagogía, Educación y políticas públicas y Cualificación docente componente de cualificación, investigación e innovación docente:Comunidades de saber y de práctica pedagógica."/>
    <s v="Diseño de la Estrategia de cualificación, investigación e innovación docente: comunidades de saber y de práctica pedagógica - Fase 2"/>
    <n v="78"/>
    <n v="0"/>
    <s v="Prestación de servicios profesionales para realizar la conceptualización, caracterización y diseño metodológico del componente Cualificación, investigación e innovación docente: comunidades de saber y de práctica pedagógica"/>
    <n v="80111621"/>
    <x v="8"/>
    <s v="Edwin Ferley Ortíz"/>
    <x v="0"/>
    <x v="5"/>
    <x v="0"/>
    <n v="6"/>
    <s v="Directa"/>
    <s v="Directa"/>
    <n v="48689322"/>
    <n v="0"/>
    <n v="48689322"/>
    <n v="1"/>
    <n v="48689322"/>
    <n v="0"/>
    <n v="48689322"/>
    <d v="2017-03-21T00:00:00"/>
    <x v="2"/>
    <x v="0"/>
    <n v="37"/>
    <s v="JAIME PARRA RODRIGUEZ"/>
  </r>
  <r>
    <s v="1096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once (11) Estudios en Escuela currículo y pedagogía, Educación y políticas públicas y Cualificación docente del componente de cualificación, investigación e innovación docente: Comunidades de saber y de práctica pedagógica."/>
    <s v="Realizar tres (3) Estudios Escuela Curriculo y Pedagogía, Educación y políticas públicas y Cualificación docente componente de cualificación, investigación e innovación docente:Comunidades de saber y de práctica pedagógica."/>
    <s v="Estudio de la  Estrategia de cualificación, investigación e innovación docente: comunidades de saber y de práctica pedagógica"/>
    <n v="151"/>
    <n v="0"/>
    <s v="Prestación de servicios profesionales para orientar el acompañamiento  a iniciativas de proyectos pedagógicos: Nivel I "/>
    <n v="80111621"/>
    <x v="3"/>
    <s v="Luisa Acuña"/>
    <x v="0"/>
    <x v="0"/>
    <x v="0"/>
    <n v="9"/>
    <s v="Directa"/>
    <s v="Directa"/>
    <n v="59755077"/>
    <n v="0"/>
    <n v="59755077"/>
    <n v="1"/>
    <n v="59755077"/>
    <n v="0"/>
    <n v="59755077"/>
    <d v="2017-02-28T00:00:00"/>
    <x v="0"/>
    <x v="0"/>
    <n v="9"/>
    <s v="OLGA BEJARANO BEJARANO"/>
  </r>
  <r>
    <s v="1097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tres (3) Estudios en Escuela Curriculo y Pedagogía,  Educación y políticas públicas y Cualificación docente del componente de cualificación, investigación e innovación docente: Comunidades de saber y de práctica pedagógica."/>
    <s v="Realizar tres (3) Estudios Escuela Curriculo y Pedagogía, Educación y políticas públicas y Cualificación docente componente de cualificación, investigación e innovación docente:Comunidades de saber y de práctica pedagógica."/>
    <s v="Estudio de la  Estrategia de cualificación, investigación e innovación docente: comunidades de saber y de práctica pedagógica"/>
    <n v="152"/>
    <n v="0"/>
    <s v="Prestación de servicios profesionales para orientar el acompañamiento  a experiencias pedagógicas en desarrollo: Nivel II"/>
    <n v="80111621"/>
    <x v="3"/>
    <s v="Luisa Acuña"/>
    <x v="0"/>
    <x v="0"/>
    <x v="0"/>
    <n v="9"/>
    <s v="Directa"/>
    <s v="Directa"/>
    <n v="59755077"/>
    <n v="0"/>
    <n v="59755077"/>
    <n v="1"/>
    <n v="59755077"/>
    <n v="0"/>
    <n v="59755077"/>
    <d v="2017-02-28T00:00:00"/>
    <x v="0"/>
    <x v="0"/>
    <n v="10"/>
    <s v="LUZ CARDOZO ESPITIA"/>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tres (3) Estudios en Escuela Curriculo y Pedagogía,  Educación y políticas públicas y Cualificación docente del componente de cualificación, investigación e innovación docente: Comunidades de saber y de práctica pedagógica."/>
    <s v="Realizar tres (3) Estudios Escuela Curriculo y Pedagogía, Educación y políticas públicas y Cualificación docente componente de cualificación, investigación e innovación docente:Comunidades de saber y de práctica pedagógica."/>
    <s v="Estudio de la  Estrategia de cualificación, investigación e innovación docente: comunidades de saber y de práctica pedagógica"/>
    <n v="153"/>
    <n v="0"/>
    <s v="Prestación de servicios profesionales para orientar el acompañamiento  a la sistematización de experiencias pedagógicas significativas: Nivel III"/>
    <n v="80111621"/>
    <x v="3"/>
    <s v="Luisa Acuña"/>
    <x v="0"/>
    <x v="0"/>
    <x v="0"/>
    <n v="9"/>
    <s v="Directa"/>
    <s v="Directa"/>
    <n v="59755077"/>
    <n v="0"/>
    <n v="59755077"/>
    <n v="1"/>
    <n v="59755077"/>
    <n v="0"/>
    <n v="59755077"/>
    <d v="2017-02-28T00:00:00"/>
    <x v="0"/>
    <x v="0"/>
    <n v="11"/>
    <s v="ADRIANA LONDOÑO CANCELADO"/>
  </r>
  <r>
    <s v="1080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tres (3) Estudios en Escuela Curriculo y Pedagogía,  Educación y políticas públicas y Cualificación docente del componente de cualificación, investigación e innovación docente: Comunidades de saber y de práctica pedagógica."/>
    <s v="Realizar tres (3) Estudios Escuela Curriculo y Pedagogía, Educación y políticas públicas y Cualificación docente componente de cualificación, investigación e innovación docente:Comunidades de saber y de práctica pedagógica."/>
    <s v="Estudio de la  Estrategia de cualificación, investigación e innovación docente: comunidades de saber y de práctica pedagógica"/>
    <n v="154"/>
    <n v="0"/>
    <s v="Aunar esfuerzos para realizar procesos de cualificación en los tres niveles de acompañamiento a docentes y reconocimiento en territorio de experiencias pedagógicas significativas"/>
    <n v="80111621"/>
    <x v="3"/>
    <s v="Luisa Acuña"/>
    <x v="0"/>
    <x v="4"/>
    <x v="0"/>
    <n v="7"/>
    <s v="Directa"/>
    <s v="Directa"/>
    <n v="200000000"/>
    <n v="0"/>
    <n v="200000000"/>
    <n v="1"/>
    <n v="200000000"/>
    <n v="0"/>
    <n v="200000000"/>
    <d v="2017-05-09T00:00:00"/>
    <x v="5"/>
    <x v="0"/>
    <n v="77"/>
    <s v="UNIVERSIDAD DISSTRITAL"/>
  </r>
  <r>
    <s v="1081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Realizar tres (3) Estudios en Escuela Curriculo y Pedagogía,  Educación y políticas públicas y Cualificación docente del componente de cualificación, investigación e innovación docente: Comunidades de saber y de práctica pedagógica."/>
    <m/>
    <s v="Estudio de la  Estrategia de cualificación, investigación e innovación docente: comunidades de saber y de práctica pedagógica"/>
    <n v="84"/>
    <n v="0"/>
    <s v="Prestación de servicios profesionales para realizar el apoyo administrativo del componente cualificación, investigación e innovación docente: comunidades de saber y práctica pedagógica"/>
    <n v="80111601"/>
    <x v="8"/>
    <s v="Edwin Ferley Ortíz"/>
    <x v="0"/>
    <x v="5"/>
    <x v="0"/>
    <n v="7"/>
    <s v="Directa"/>
    <s v="Directa"/>
    <n v="40574435"/>
    <n v="0"/>
    <n v="40574435"/>
    <n v="1"/>
    <n v="40574435"/>
    <n v="0"/>
    <n v="40574435"/>
    <d v="2017-01-31T00:00:00"/>
    <x v="4"/>
    <x v="0"/>
    <n v="3"/>
    <s v="DIANA CAROLINA MARTINEZ"/>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de la  Estrategia de cualificación, investigación e innovación docente: comunidades de saber y de práctica pedagógica"/>
    <n v="198"/>
    <n v="0"/>
    <s v="Prestación de servicios profesionales para orientar conceptual y metodológicamente la caracterización y consolidación  de experiencias pedagógicas en las localidades del Distrito Capital, en el marco del Convenio 1452 de 2017 en su componente 4."/>
    <n v="80111621"/>
    <x v="9"/>
    <s v="Andrea Bustamante"/>
    <x v="0"/>
    <x v="5"/>
    <x v="0"/>
    <n v="8"/>
    <s v="Directa"/>
    <s v="Directa"/>
    <n v="73033983"/>
    <n v="0"/>
    <n v="73033983"/>
    <n v="1"/>
    <n v="73033983"/>
    <n v="0"/>
    <n v="73033983"/>
    <d v="2017-04-19T00:00:00"/>
    <x v="1"/>
    <x v="0"/>
    <n v="53"/>
    <s v="ADRIANA LOPEZ CAMACHO"/>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de la  Estrategia de cualificación, investigación e innovación docente: comunidades de saber y de práctica pedagógica"/>
    <n v="199"/>
    <n v="0"/>
    <s v="Prestación de servicios profesionales para la implementación de la estrategia de educomunicación de las actividades realizadas por el IDEP en el marco de convenio 1452 de 2017 con el uso  y desarrollo de las Tecnologías de la Información y Comunicación, TIC."/>
    <n v="80111621"/>
    <x v="1"/>
    <s v="Juliana Gutiérrez"/>
    <x v="0"/>
    <x v="0"/>
    <x v="0"/>
    <n v="8"/>
    <s v="Directa"/>
    <s v="Directa"/>
    <n v="54319394"/>
    <n v="0"/>
    <n v="54319394"/>
    <n v="1"/>
    <n v="54319394"/>
    <n v="0"/>
    <n v="54319394"/>
    <d v="2017-04-26T00:00:00"/>
    <x v="1"/>
    <x v="0"/>
    <n v="64"/>
    <s v="MARIA LUISA TRUJILLO MARTINEZ"/>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de la  Estrategia de cualificación, investigación e innovación docente: comunidades de saber y de práctica pedagógica"/>
    <n v="200"/>
    <n v="0"/>
    <s v="Prestación de servicios profesionales para realizar acciones de comunicación en los canales y medios institucionales, difusión externa, prensa y manejo de relaciones con medios de comunicación para la divulgación y socialización de las actividades realizadas por el IDEP en el marco del Convenio 1452 de 2017. "/>
    <n v="80111621"/>
    <x v="1"/>
    <s v="Juliana Gutiérrez"/>
    <x v="0"/>
    <x v="4"/>
    <x v="0"/>
    <n v="7"/>
    <s v="Directa"/>
    <s v="Directa"/>
    <n v="35300040"/>
    <n v="0"/>
    <n v="35300040"/>
    <n v="1"/>
    <n v="35300040"/>
    <n v="0"/>
    <n v="35300040"/>
    <d v="2017-05-10T00:00:00"/>
    <x v="5"/>
    <x v="0"/>
    <n v="78"/>
    <s v="RICHAR ROMO GUASCAS"/>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de la  Estrategia de cualificación, investigación e innovación docente: comunidades de saber y de práctica pedagógica"/>
    <n v="201"/>
    <n v="0"/>
    <s v="Prestación de servicios profesionales para la Pre producción, producción y post producción de piezas de comunicación masivas para socializar y divulgar contenido educativo y pedagógico del IDEP en el marco del Convenio 1452 de 2017. ."/>
    <n v="80111621"/>
    <x v="1"/>
    <s v="Juliana Gutiérrez"/>
    <x v="0"/>
    <x v="2"/>
    <x v="0"/>
    <n v="6"/>
    <s v="selección abreviada"/>
    <s v="selección Abreviada"/>
    <n v="0"/>
    <n v="0"/>
    <n v="0"/>
    <n v="0"/>
    <n v="0"/>
    <n v="0"/>
    <n v="0"/>
    <m/>
    <x v="3"/>
    <x v="0"/>
    <n v="0"/>
    <n v="0"/>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de la  Estrategia de cualificación, investigación e innovación docente: comunidades de saber y de práctica pedagógica"/>
    <n v="232"/>
    <n v="0"/>
    <s v="Prestación de servicios profesionales para realizar la caracterización y consolidación  de experiencias pedagógicas en las localidades 4, 5, 6, 19, 20 del Distrito Capital, en el marco del Convenio 1452 de 2017 en su componente 4."/>
    <n v="80111621"/>
    <x v="9"/>
    <s v="Andrea Bustamante"/>
    <x v="0"/>
    <x v="1"/>
    <x v="0"/>
    <n v="7"/>
    <s v="Directa"/>
    <s v="Directa"/>
    <n v="3981659"/>
    <n v="42494512"/>
    <n v="46476171"/>
    <n v="1"/>
    <n v="3981659"/>
    <n v="42494512"/>
    <n v="46476171"/>
    <d v="2017-04-24T00:00:00"/>
    <x v="1"/>
    <x v="0"/>
    <n v="57"/>
    <s v="NADIA JOHANA HERNANDEZ"/>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de la  Estrategia de cualificación, investigación e innovación docente: comunidades de saber y de práctica pedagógica"/>
    <n v="233"/>
    <n v="0"/>
    <s v="Prestación de servicios profesionales para realizar la caracterización y consolidación  de experiencias pedagógicas en las localidades  1, 2, 3, 10, 11, 12, 13, 16, 17 del Distrito Capital, en el marco del Convenio 1452 de 2017 en su componente 4."/>
    <n v="80111621"/>
    <x v="9"/>
    <s v="Andrea Bustamante"/>
    <x v="0"/>
    <x v="1"/>
    <x v="0"/>
    <n v="7"/>
    <s v="Directa"/>
    <s v="Directa"/>
    <n v="0"/>
    <n v="46476171"/>
    <n v="46476171"/>
    <n v="1"/>
    <n v="0"/>
    <n v="46476171"/>
    <n v="46476171"/>
    <d v="2017-04-25T00:00:00"/>
    <x v="1"/>
    <x v="0"/>
    <n v="59"/>
    <s v="ANDREA OSORIO VILLADA"/>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de la  Estrategia de cualificación, investigación e innovación docente: comunidades de saber y de práctica pedagógica"/>
    <n v="234"/>
    <n v="0"/>
    <s v="Prestación de servicios profesionales para realizar la caracterización y consolidación  de experiencias pedagógicas en las localidades 7, 8, 9, 14, 15, 18 del Distrito Capital, en el marco del Convenio 1452 de 2017 en su componente 4."/>
    <n v="80111621"/>
    <x v="9"/>
    <s v="Andrea Bustamante"/>
    <x v="0"/>
    <x v="1"/>
    <x v="0"/>
    <n v="7"/>
    <s v="Directa"/>
    <s v="Directa"/>
    <n v="0"/>
    <n v="46476171"/>
    <n v="46476171"/>
    <n v="1"/>
    <n v="0"/>
    <n v="46476171"/>
    <n v="46476171"/>
    <d v="2017-04-25T00:00:00"/>
    <x v="1"/>
    <x v="0"/>
    <n v="58"/>
    <s v="JUAN NIETO MOLINA"/>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de la  Estrategia de cualificación, investigación e innovación docente: comunidades de saber y de práctica pedagógica"/>
    <n v="235"/>
    <n v="0"/>
    <s v="Prestación de servicios profesionales para realizar el apoyo administrativo, en el marco del Convenio 1452 de 2017 en su componente 4."/>
    <n v="80111621"/>
    <x v="9"/>
    <s v="Andrea Bustamante"/>
    <x v="0"/>
    <x v="1"/>
    <x v="0"/>
    <n v="8"/>
    <s v="Directa"/>
    <s v="Directa"/>
    <n v="0"/>
    <n v="32505654"/>
    <n v="32505654"/>
    <n v="1"/>
    <n v="0"/>
    <n v="32505654"/>
    <n v="32505654"/>
    <d v="2017-04-18T00:00:00"/>
    <x v="1"/>
    <x v="0"/>
    <n v="46"/>
    <s v="BETTY BLANCO SANDOVAL"/>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de la  Estrategia de cualificación, investigación e innovación docente: comunidades de saber y de práctica pedagógica"/>
    <n v="258"/>
    <n v="0"/>
    <s v="Prestación de servicios para apoyar en la actualización y consolidación del mapeo realizado por la SED y el IDEP en el  2016, para alimentar las aplicaciones de georeferenciación del IDECA (Mapas Bogotá y plataformas asociadas), que permitan visibilizar el resultado del mapeo de las experiencias de investigación, innovación educativa y redes pedagógicas de Bogotá, en el marco del Convenio 1452 de 2017 en su componente 4."/>
    <n v="80111621"/>
    <x v="8"/>
    <s v="Edwin Ferley Ortíz"/>
    <x v="0"/>
    <x v="2"/>
    <x v="0"/>
    <n v="5"/>
    <s v="Directa"/>
    <s v="Directa"/>
    <n v="33364924"/>
    <n v="130047492"/>
    <n v="163412416"/>
    <n v="0"/>
    <n v="0"/>
    <n v="0"/>
    <n v="0"/>
    <m/>
    <x v="3"/>
    <x v="0"/>
    <n v="0"/>
    <n v="0"/>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de la  Estrategia de cualificación, investigación e innovación docente: comunidades de saber y de práctica pedagógica"/>
    <n v="279"/>
    <n v="0"/>
    <s v="Prestación de servicio profesionales para desarrollar una estrategia de comunicación y divulgación de las acciones que realizan docentes investigadores, innovadores y redes pedagógicas que propicien intercambio de saberes en la ciudad de Bogotá, en el marco del Convenio 1452 de 2017 en su componente 4._x000a_"/>
    <n v="80111621"/>
    <x v="6"/>
    <s v="Amanda Cortés"/>
    <x v="0"/>
    <x v="2"/>
    <x v="0"/>
    <n v="6"/>
    <s v="Directa"/>
    <s v="Directa"/>
    <n v="0"/>
    <n v="202000000"/>
    <n v="202000000"/>
    <n v="0"/>
    <n v="0"/>
    <n v="0"/>
    <n v="0"/>
    <m/>
    <x v="3"/>
    <x v="0"/>
    <n v="0"/>
    <n v="0"/>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de la  Estrategia de cualificación, investigación e innovación docente: comunidades de saber y de práctica pedagógica"/>
    <n v="280"/>
    <n v="0"/>
    <s v="Prestación de servicios profesionales para fortalecer e impulsar la Red de innovación del Distrito a través del apoyo a las redes pedagógicas, en el marco del Convenio 1452 de 2017 en su componente 4."/>
    <n v="80111621"/>
    <x v="6"/>
    <s v="Amanda Cortés"/>
    <x v="0"/>
    <x v="2"/>
    <x v="0"/>
    <n v="6"/>
    <s v="Directa"/>
    <s v="Directa"/>
    <n v="0"/>
    <n v="100000000"/>
    <n v="100000000"/>
    <n v="0"/>
    <n v="0"/>
    <n v="0"/>
    <n v="0"/>
    <m/>
    <x v="3"/>
    <x v="0"/>
    <n v="0"/>
    <n v="0"/>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Escuela Curriculo y Pedagogía: Prácticas de Evaluación componente 2"/>
    <n v="224"/>
    <n v="0"/>
    <s v="Prestación de servicios profesionales para orientar conceptual y metodológicamente el estudio sobre prácticas de evaluación,  en el marco del convenio  1452  de 2017 en su componente 1."/>
    <n v="80111621"/>
    <x v="10"/>
    <s v="Luisa Acuña"/>
    <x v="0"/>
    <x v="0"/>
    <x v="0"/>
    <n v="8"/>
    <s v="Directa"/>
    <s v="Directa"/>
    <n v="73040000"/>
    <n v="0"/>
    <n v="73040000"/>
    <n v="1"/>
    <n v="73040000"/>
    <n v="0"/>
    <n v="73040000"/>
    <d v="2017-04-19T00:00:00"/>
    <x v="1"/>
    <x v="0"/>
    <n v="49"/>
    <s v="LUIS ALFONSO TAMAYO VALENCIA"/>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Escuela Curriculo y Pedagogía: Prácticas de Evaluación componente 2"/>
    <n v="225"/>
    <n v="0"/>
    <s v="Prestación de servicios profesionales para realizar los lineamientos conceptuales y metodológicos  para  la creación de una RED de Instituciones por la Evaluación en el Distrito Capital, en el marco del Convenio  1452   de 2017 en su componente 1"/>
    <n v="80111621"/>
    <x v="10"/>
    <s v="Luisa Acuña"/>
    <x v="0"/>
    <x v="0"/>
    <x v="0"/>
    <n v="8"/>
    <s v="Directa"/>
    <s v="Directa"/>
    <n v="26960000"/>
    <n v="46080000"/>
    <n v="73040000"/>
    <n v="1"/>
    <n v="26960000"/>
    <n v="46080000"/>
    <n v="73040000"/>
    <d v="2017-04-29T00:00:00"/>
    <x v="1"/>
    <x v="0"/>
    <n v="69"/>
    <s v="EDWIN DUQUE SILVA"/>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Escuela Curriculo y Pedagogía: Prácticas de Evaluación componente 2"/>
    <n v="226"/>
    <n v="0"/>
    <s v="Prestación de servicios profesionales para apoyar académicamente  la supervisión y orientar conceptual y metodológicamente los encuentros, talleres y seminarios  entre entidades, instituciones, directivos y docentes participantes en el estudio sobre prácticas significativas de evaluación en las IED, así como la clasificación y consolidación de productos derivados del estudio, en el marco del Convenio  1452   de 2017 en su componente 1."/>
    <n v="80111621"/>
    <x v="10"/>
    <s v="Luisa Acuña"/>
    <x v="0"/>
    <x v="0"/>
    <x v="0"/>
    <n v="8"/>
    <s v="Directa"/>
    <s v="Directa"/>
    <n v="0"/>
    <n v="73040000"/>
    <n v="73040000"/>
    <n v="1"/>
    <n v="0"/>
    <n v="73040000"/>
    <n v="73040000"/>
    <d v="2017-04-19T00:00:00"/>
    <x v="1"/>
    <x v="0"/>
    <n v="51"/>
    <s v="LICED ANGELICA ZEA SILVA"/>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Escuela Curriculo y Pedagogía: Prácticas de Evaluación componente 2"/>
    <n v="257"/>
    <n v="0"/>
    <s v="Prestación de servicios profesionales para prestar el apoyo tecnológico y de comunicaciones del  estudio sobre  prácticas de evaluación  en el distrito capital en el marco  del Convenio  1452   de 2017 en su componente 1."/>
    <n v="80111621"/>
    <x v="10"/>
    <s v="Luisa Acuña"/>
    <x v="0"/>
    <x v="4"/>
    <x v="0"/>
    <n v="8"/>
    <s v="Directa"/>
    <s v="Directa"/>
    <n v="0"/>
    <n v="29508680"/>
    <n v="29508680"/>
    <n v="1"/>
    <n v="0"/>
    <n v="29508680"/>
    <n v="29508680"/>
    <d v="2017-05-02T00:00:00"/>
    <x v="5"/>
    <x v="0"/>
    <n v="70"/>
    <s v="OSCAR MUNAR SUAREZ"/>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Escuela Curriculo y Pedagogía: Prácticas de Evaluación componente 2"/>
    <n v="228"/>
    <n v="0"/>
    <s v="Prestación de servicios profesionales para realizar la caracterización, sistematización y análisis de buenas prácticas de evaluación, así como el levantamiento de información para la línea de base sobre prácticas de evaluación en todas las instituciones oficiales del Distrito Capital, en el marco del Convenio 1452   de 2017 en su componente 1."/>
    <n v="80111621"/>
    <x v="8"/>
    <s v="Edwin Ferley Ortíz"/>
    <x v="0"/>
    <x v="4"/>
    <x v="0"/>
    <n v="7"/>
    <s v="Directa"/>
    <s v="Directa"/>
    <n v="0"/>
    <n v="372477405"/>
    <n v="372477405"/>
    <n v="1"/>
    <n v="0"/>
    <n v="372477405"/>
    <n v="372477405"/>
    <d v="2017-05-05T00:00:00"/>
    <x v="5"/>
    <x v="0"/>
    <n v="73"/>
    <s v="FUNDACION UNIVERSITARIA CAFAM"/>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Escuela Curriculo y Pedagogía: Prácticas de Evaluación componente 2"/>
    <n v="229"/>
    <n v="0"/>
    <s v="Prestación de servicios profesionales para  realizar el apoyo administrativo y de asistencia académica para el estudio sobre prácticas evaluativas, en el marco del Convenio  1452 de 2017 en su componente 1."/>
    <n v="80111621"/>
    <x v="10"/>
    <s v="Luisa Acuña"/>
    <x v="0"/>
    <x v="1"/>
    <x v="0"/>
    <n v="8"/>
    <s v="Directa"/>
    <s v="Directa"/>
    <n v="0"/>
    <n v="28893915"/>
    <n v="28893915"/>
    <n v="1"/>
    <n v="0"/>
    <n v="28893915"/>
    <n v="28893915"/>
    <d v="2017-04-19T00:00:00"/>
    <x v="1"/>
    <x v="0"/>
    <n v="48"/>
    <s v="ANA MARIA CARO DIAZ"/>
  </r>
  <r>
    <s v="1079  Investigación e innovación para el fortalecimiento de las comunidades de saber y práctica pedagógica."/>
    <s v="Codigo 386 _x000a_Tres centros de Innovación que dinamizan las Estrategias y procesos en la Red de Innovación del Maestro"/>
    <s v="Componente N° 2: Estategia de Cualificación investigación e innovación docente: Comunidades de saber y de práctica pedagógica"/>
    <s v="Desarrollar una  (1) estrategia de comunicación, socialización y divulgación de la cualificación, investigación e innovación docente: Comunidades de saber y de práctica "/>
    <s v="Desarrollar una  (1) estrategia de comunicación, socialización y divulgación de la cualificación, investigación e innovación docente: Comunidades de saber y de práctica "/>
    <s v="Estudio Cualificación Docente : Transmedia Educativa"/>
    <n v="265"/>
    <n v="0"/>
    <s v="Prestación de servicios profesionales para desarrollar un proceso de investigación y formación, con el fin de cualificar el uso y apropiación de los resultados de 5 experiencias pedagógicas, investigaciones o innovaciones educativas, en el Distrito Capital, mediante la producción de narrativas con el fin de divulgarlas de manera innovadora (transmedia) de forma que impacten de manera más eficaz a sus comunidades académicas."/>
    <n v="80111621"/>
    <x v="8"/>
    <s v="Edwin Ferley Ortíz"/>
    <x v="0"/>
    <x v="4"/>
    <x v="0"/>
    <n v="7"/>
    <s v="Directa"/>
    <s v="Directa"/>
    <n v="167471012"/>
    <n v="0"/>
    <n v="167471012"/>
    <n v="0"/>
    <n v="167471012"/>
    <n v="0"/>
    <n v="167471012"/>
    <d v="2017-05-15T00:00:00"/>
    <x v="5"/>
    <x v="0"/>
    <n v="81"/>
    <s v="CORPORACION UNIVERSITARIA MINUTO DE DIOS"/>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Estudio de Cualificación Docente: Formulación de la estrategia de desarrollo personal de los docentes – Ser Maestro. "/>
    <n v="239"/>
    <n v="0"/>
    <s v="Prestación de servicios profesionales para  apoyar la elaboración  de los referentes conceptuales y metodológicos de una estrategia para el desarrollo personal de los docentes, en el marco del Convenio 1452 de 2017 en su componente 4."/>
    <n v="80111621"/>
    <x v="0"/>
    <s v="Jorge Palacio"/>
    <x v="0"/>
    <x v="4"/>
    <x v="0"/>
    <n v="6"/>
    <s v="Directa"/>
    <s v="Directa"/>
    <n v="0"/>
    <n v="39836718"/>
    <n v="39836718"/>
    <n v="1"/>
    <n v="0"/>
    <n v="39836718"/>
    <n v="39836718"/>
    <d v="2017-04-21T00:00:00"/>
    <x v="1"/>
    <x v="0"/>
    <n v="55"/>
    <s v="ALBERTO AYALA MORANTE"/>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Estudio de Cualificación Docente: Formulación de la estrategia de desarrollo personal de los docentes – Ser Maestro."/>
    <n v="240"/>
    <n v="0"/>
    <s v="Prestación de servicios profesionales para  apoyar la elaboración  de los referentes pedagógicos y técnicos de una estrategia para el desarrollo personal de los docentes, en el marco del Convenio 1452 de 2017 en su componente 4."/>
    <n v="80111621"/>
    <x v="0"/>
    <s v="Jorge Palacio"/>
    <x v="0"/>
    <x v="4"/>
    <x v="0"/>
    <n v="6"/>
    <s v="Directa"/>
    <s v="Directa"/>
    <n v="0"/>
    <n v="39836718"/>
    <n v="39836718"/>
    <n v="1"/>
    <n v="0"/>
    <n v="39836718"/>
    <n v="39836718"/>
    <d v="2017-04-21T00:00:00"/>
    <x v="1"/>
    <x v="0"/>
    <n v="54"/>
    <s v="NELSON MUÑOZ SANCHEZ"/>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Estudio de Cualificación Docente: Formulación de la estrategia de desarrollo personal de los docentes – Ser Maestro."/>
    <n v="246"/>
    <n v="0"/>
    <s v="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
    <n v="80111621"/>
    <x v="5"/>
    <s v="María Isabel Ramírez"/>
    <x v="0"/>
    <x v="4"/>
    <x v="0"/>
    <n v="7"/>
    <s v="Directa"/>
    <s v="Directa"/>
    <n v="0"/>
    <n v="20326564"/>
    <n v="20326564"/>
    <n v="0"/>
    <n v="0"/>
    <n v="20326564"/>
    <n v="20326564"/>
    <d v="2017-05-16T00:00:00"/>
    <x v="5"/>
    <x v="0"/>
    <d v="2017-05-16T00:00:00"/>
    <s v="CORPORACION MIXTA PARA LA INVESTIGACION Y DESARROLLO DE LA EDUCACION - CORPOEDUCACION"/>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Proyectos Editoriales Componente 2"/>
    <n v="139"/>
    <n v="0"/>
    <s v="Prestación de servicios para realizar la edición, el diseño y la diagramación de la Revista Educación y Ciudad."/>
    <n v="82111801"/>
    <x v="6"/>
    <s v="Diana Prada"/>
    <x v="0"/>
    <x v="0"/>
    <x v="0"/>
    <n v="10"/>
    <s v="Directa"/>
    <s v="Directa"/>
    <n v="25150000"/>
    <n v="0"/>
    <n v="25150000"/>
    <n v="1"/>
    <n v="25150000"/>
    <n v="0"/>
    <n v="25150000"/>
    <d v="2017-03-09T00:00:00"/>
    <x v="2"/>
    <x v="0"/>
    <n v="30"/>
    <s v="COOPERATIVA EDITORIAL MAGISTERIO"/>
  </r>
  <r>
    <s v="1038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Proyectos Editoriales Componente 2"/>
    <n v="136"/>
    <n v="0"/>
    <s v="Prestación de servicios profesionales para realizar la edición del magazín &quot;Aula Urbana&quot;."/>
    <n v="82111801"/>
    <x v="6"/>
    <s v="Diana Prada"/>
    <x v="0"/>
    <x v="0"/>
    <x v="0"/>
    <n v="10"/>
    <s v="Directa"/>
    <s v="Directa"/>
    <n v="11035738"/>
    <n v="0"/>
    <n v="11035738"/>
    <n v="1"/>
    <n v="11035738"/>
    <n v="0"/>
    <n v="11035738"/>
    <d v="2017-02-28T00:00:00"/>
    <x v="0"/>
    <x v="0"/>
    <n v="12"/>
    <s v="JAVIER VARGAS ACOSTA"/>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Proyectos Editoriales Componente 2"/>
    <n v="170"/>
    <n v="0"/>
    <s v="Prestación de servicios  para realizar el diseño y la diagramación del magazín &quot;Aula Urbana&quot;."/>
    <n v="82111801"/>
    <x v="6"/>
    <s v="Diana Prada"/>
    <x v="0"/>
    <x v="5"/>
    <x v="0"/>
    <n v="9"/>
    <s v="Directa"/>
    <s v="Directa"/>
    <n v="7734262"/>
    <n v="0"/>
    <n v="7734262"/>
    <n v="1"/>
    <n v="7734262"/>
    <n v="0"/>
    <n v="7734262"/>
    <d v="2017-03-10T00:00:00"/>
    <x v="2"/>
    <x v="0"/>
    <n v="32"/>
    <s v="ANDREA SARMIENTO BOHORQUEZ"/>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Proyectos Editoriales Componente 2"/>
    <n v="138"/>
    <n v="0"/>
    <s v="Prestación de servicios para realizar la edición, el diseño y la diagramación de libros de la serie editorial del  IDEP. "/>
    <n v="82111801"/>
    <x v="6"/>
    <s v="Diana Prada"/>
    <x v="0"/>
    <x v="4"/>
    <x v="0"/>
    <n v="8"/>
    <s v="Directa"/>
    <s v="Directa"/>
    <n v="25560000"/>
    <n v="0"/>
    <n v="25560000"/>
    <n v="1"/>
    <n v="25560000"/>
    <n v="0"/>
    <n v="25560000"/>
    <d v="2017-05-05T00:00:00"/>
    <x v="5"/>
    <x v="0"/>
    <n v="72"/>
    <s v="TALLER DE EDICIÓN ROCCA S.A."/>
  </r>
  <r>
    <m/>
    <m/>
    <m/>
    <m/>
    <m/>
    <s v="Proyectos Editoriales Componente 2"/>
    <n v="183"/>
    <n v="0"/>
    <s v="Prestación de servicios para la impresión de publicaciones del Instituto para la Investigación Educativa y el Desarrollo Pedagógico, IDEP"/>
    <n v="82111801"/>
    <x v="6"/>
    <s v="Diana Prada"/>
    <x v="0"/>
    <x v="4"/>
    <x v="0"/>
    <n v="9"/>
    <s v="Selección Abreviada -Subasta inversa"/>
    <s v="Selección Abreviada -Subasta inversa"/>
    <n v="26155250"/>
    <n v="0"/>
    <n v="26155250"/>
    <n v="0"/>
    <n v="26155250"/>
    <n v="0"/>
    <n v="26155250"/>
    <d v="2017-05-22T00:00:00"/>
    <x v="5"/>
    <x v="0"/>
    <n v="87"/>
    <s v="CI WARRIORS COMPANY S.A.S."/>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n v="0"/>
    <n v="0"/>
    <n v="0"/>
    <s v="sALDO"/>
    <n v="0"/>
    <x v="7"/>
    <n v="0"/>
    <x v="0"/>
    <x v="6"/>
    <x v="1"/>
    <n v="0"/>
    <n v="0"/>
    <n v="0"/>
    <n v="0"/>
    <n v="0"/>
    <n v="3844750"/>
    <n v="0"/>
    <n v="0"/>
    <n v="0"/>
    <n v="0"/>
    <m/>
    <x v="3"/>
    <x v="0"/>
    <n v="0"/>
    <n v="0"/>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Socialización y _x000a_Divulgación.Componente 2"/>
    <n v="140"/>
    <n v="0"/>
    <s v="Prestación de servicios profesionales para realizar el diseño y diagramación de piezas gráficas (impresas, audioviduales y digitales) del IDEP. "/>
    <n v="82141504"/>
    <x v="1"/>
    <s v="Juliana Gutiérrez"/>
    <x v="0"/>
    <x v="0"/>
    <x v="0"/>
    <n v="10"/>
    <s v="Directa"/>
    <s v="Directa"/>
    <n v="27383073"/>
    <n v="0"/>
    <n v="27383073"/>
    <n v="1"/>
    <n v="27383073"/>
    <n v="0"/>
    <n v="27383073"/>
    <d v="2017-02-28T00:00:00"/>
    <x v="0"/>
    <x v="0"/>
    <n v="13"/>
    <s v="GUSTAVO MARTINEZ"/>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Socialización y _x000a_Divulgación.Componente 2"/>
    <n v="71"/>
    <n v="0"/>
    <s v="Prestación de servicios profesionales para apoyar la socialización académica e institucional y el seguimiento de la misma."/>
    <n v="80111621"/>
    <x v="4"/>
    <s v="Martha Cuevas"/>
    <x v="0"/>
    <x v="5"/>
    <x v="0"/>
    <n v="10"/>
    <s v="Directa"/>
    <s v="Directa"/>
    <n v="35495989"/>
    <n v="0"/>
    <n v="35495989"/>
    <n v="1"/>
    <n v="35495989"/>
    <n v="0"/>
    <n v="35495989"/>
    <d v="2017-03-03T00:00:00"/>
    <x v="2"/>
    <x v="0"/>
    <n v="21"/>
    <s v="NOHORA ROSO GUEVARA"/>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Socialización y _x000a_Divulgación.Componente 2"/>
    <n v="184"/>
    <n v="0"/>
    <s v="Adición al contrato No. 68 de 2016 &quot; Prestación de servicios profesionales para el diseño de una estrategia de educomunicación institucional con el uso y desarrollo de  las  Tecnologías de la Información y la Comunicación, TIC&quot;. "/>
    <n v="80111621"/>
    <x v="4"/>
    <s v="Martha Cuevas"/>
    <x v="0"/>
    <x v="5"/>
    <x v="0"/>
    <n v="10"/>
    <s v="Directa"/>
    <s v="Directa"/>
    <n v="3811361"/>
    <n v="0"/>
    <n v="3811361"/>
    <n v="1"/>
    <n v="3811361"/>
    <n v="0"/>
    <n v="3811361"/>
    <d v="2017-03-10T00:00:00"/>
    <x v="2"/>
    <x v="0"/>
    <n v="68"/>
    <s v="LUISA TRUJILLO MARTINEZ"/>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Socialización y _x000a_Divulgación.Componente 2"/>
    <n v="204"/>
    <n v="0"/>
    <s v="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
    <n v="80111601"/>
    <x v="1"/>
    <s v="Juliana Gutiérrez"/>
    <x v="0"/>
    <x v="1"/>
    <x v="0"/>
    <n v="8"/>
    <s v="Directa"/>
    <s v="Directa"/>
    <n v="81599902"/>
    <n v="0"/>
    <n v="81599902"/>
    <n v="1"/>
    <n v="81599902"/>
    <n v="0"/>
    <n v="81599902"/>
    <d v="2017-04-18T00:00:00"/>
    <x v="1"/>
    <x v="0"/>
    <n v="45"/>
    <s v="CAJA DE COMPENSACIÓN FAMILIAR COMPENSAR"/>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Socialización y _x000a_Divulgación.Componente 2"/>
    <n v="172"/>
    <n v="0"/>
    <s v="Prestación de servicios profesionales para dar soporte a página web del IDEP y a la infraestructura tecnológica del instituto"/>
    <n v="81112103"/>
    <x v="1"/>
    <s v="Juliana Gutiérrez"/>
    <x v="0"/>
    <x v="5"/>
    <x v="0"/>
    <n v="10"/>
    <s v="Directa"/>
    <s v="Directa"/>
    <n v="18918013"/>
    <n v="0"/>
    <n v="18918013"/>
    <n v="1"/>
    <n v="18918013"/>
    <n v="0"/>
    <n v="18918013"/>
    <d v="2017-03-07T00:00:00"/>
    <x v="2"/>
    <x v="0"/>
    <n v="27"/>
    <s v="OSCAR LOZANO MANRIQUE"/>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Socialización y _x000a_Divulgación.Componente 2"/>
    <n v="174"/>
    <n v="0"/>
    <s v="Prestar servicios para difundir en televisión nacional abierta por medio de la serie “francisco el matemático”, las estrategias y campañas del distrito capital para la promoción de valores cívicos, competencias ciudadanas y autocuidado, que contribuyen al mejoramiento de la calidad de vida de la comunidad educativa del distrito y la ciudadanía en general, en el marco del plan de desarrollo “bogotá mejor para todos”"/>
    <n v="80111621"/>
    <x v="1"/>
    <s v="Juliana Gutiérrez"/>
    <x v="0"/>
    <x v="0"/>
    <x v="0"/>
    <n v="10"/>
    <s v="Directa"/>
    <s v="Directa"/>
    <n v="167094477"/>
    <n v="0"/>
    <n v="167094477"/>
    <n v="1"/>
    <n v="167094477"/>
    <n v="0"/>
    <n v="167094477"/>
    <d v="2017-03-10T00:00:00"/>
    <x v="2"/>
    <x v="0"/>
    <n v="33"/>
    <s v="RCN TELEVISIÓN"/>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Socialización y _x000a_Divulgación.Componente 2"/>
    <n v="143"/>
    <n v="0"/>
    <s v="Arrendar un (1) stand, con el propósito que el Instituto para la Investigación Educativa y el Desarrollo Pedagógico IDEP, participe como expositor en la XXX Feria Internacional del Libro de Bogotá -Colombia"/>
    <n v="80111621"/>
    <x v="6"/>
    <s v="Diana Prada"/>
    <x v="0"/>
    <x v="5"/>
    <x v="0"/>
    <n v="2"/>
    <s v="Directa"/>
    <s v="Directa"/>
    <n v="12003538"/>
    <n v="0"/>
    <n v="12003538"/>
    <n v="1"/>
    <n v="12003538"/>
    <n v="0"/>
    <n v="12003538"/>
    <d v="2017-03-24T00:00:00"/>
    <x v="2"/>
    <x v="0"/>
    <n v="38"/>
    <s v="EXPOSICIÓN DE FERIAS Y EXPOSICIONES S.A."/>
  </r>
  <r>
    <s v="1039 Fortalecimiento a la Gestión Institucional"/>
    <s v="Codido 419_x000a_Sostener en el 100% la implementación del Sistema Integrado de Gestión"/>
    <s v="Sostenibilidad del   Sistema Integrado de Gestión"/>
    <s v="Sostener 100% la implementación del Sistema Integrado de Gestión"/>
    <s v="Sostenibilidad del Sistema Integrado de Gestión"/>
    <s v="Documentación  información y memoria institucional componente 2"/>
    <n v="144"/>
    <n v="0"/>
    <s v="Prestación de servicios profesionales para implementar una estrategia de formación docente que haga uso del Centro Virtual de Memoria en Educación y Pedagogía del IDEP."/>
    <n v="80111621"/>
    <x v="6"/>
    <s v="Amanda Cortés"/>
    <x v="0"/>
    <x v="5"/>
    <x v="0"/>
    <n v="6"/>
    <s v="Directa"/>
    <s v="Directa"/>
    <n v="52000620"/>
    <n v="0"/>
    <n v="52000620"/>
    <n v="1"/>
    <n v="52000620"/>
    <n v="0"/>
    <n v="52000620"/>
    <d v="2017-04-06T00:00:00"/>
    <x v="1"/>
    <x v="0"/>
    <n v="42"/>
    <s v="FUNDACION VIVENCIA"/>
  </r>
  <r>
    <m/>
    <m/>
    <m/>
    <m/>
    <m/>
    <s v="Prensa Componente 2"/>
    <n v="204"/>
    <n v="0"/>
    <s v="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
    <s v="82111901_x000a_ 82111902"/>
    <x v="1"/>
    <s v="Juliana Gutiérrez"/>
    <x v="0"/>
    <x v="4"/>
    <x v="0"/>
    <n v="1"/>
    <s v="Directa"/>
    <s v="Directa"/>
    <n v="2213027"/>
    <n v="0"/>
    <n v="2213027"/>
    <n v="1"/>
    <n v="2213027"/>
    <n v="0"/>
    <n v="2213027"/>
    <d v="2017-04-18T00:00:00"/>
    <x v="1"/>
    <x v="0"/>
    <n v="45"/>
    <s v="CAJA DE COMPENSACIÓN FAMILIAR COMPENSAR"/>
  </r>
  <r>
    <m/>
    <m/>
    <m/>
    <m/>
    <m/>
    <s v="Reconocimiento docente"/>
    <n v="242"/>
    <n v="0"/>
    <s v="Prestación de servicios profesionales para apoyar la gestión académica y administrativa de la XI versión del Premio a la Investigación e Innovación educativa, en el marco del Convenio 1452 de 2017 en su componente 5."/>
    <n v="80111621"/>
    <x v="5"/>
    <s v="María Isabel Ramírez"/>
    <x v="0"/>
    <x v="4"/>
    <x v="0"/>
    <n v="8"/>
    <s v="Directa"/>
    <s v="Directa"/>
    <n v="0"/>
    <n v="36682979"/>
    <n v="36682979"/>
    <n v="1"/>
    <n v="0"/>
    <n v="36682979"/>
    <n v="36682979"/>
    <d v="2017-04-19T00:00:00"/>
    <x v="1"/>
    <x v="0"/>
    <n v="52"/>
    <s v="YUDY CAMARGO CAMARGO"/>
  </r>
  <r>
    <m/>
    <m/>
    <m/>
    <m/>
    <m/>
    <s v="Reconocimiento docente"/>
    <n v="278"/>
    <n v="0"/>
    <s v="Prestación de servicios para el desarrollo de un aplicativo como solución tecnológica, que permita fortalecer y administrar la convocatoria del Premio a la investigación e Innovación Educativa desde el micrositio del mismo, en el marco del convenio 1452 de 2017 en su componente 5."/>
    <n v="80111621"/>
    <x v="5"/>
    <s v="María Isabel Ramírez"/>
    <x v="0"/>
    <x v="7"/>
    <x v="0"/>
    <n v="5"/>
    <s v="selección abreviada"/>
    <s v="selección Abreviada"/>
    <n v="0"/>
    <n v="31668474"/>
    <n v="31668474"/>
    <n v="0"/>
    <n v="0"/>
    <n v="0"/>
    <n v="0"/>
    <m/>
    <x v="3"/>
    <x v="0"/>
    <n v="0"/>
    <n v="0"/>
  </r>
  <r>
    <m/>
    <m/>
    <m/>
    <m/>
    <m/>
    <s v="Reconocimiento docente"/>
    <n v="244"/>
    <n v="0"/>
    <s v="Prestación de servicios de apoyo para el desarrollo logístico, operativo y asistencial de actividades de carácter académico y promocional en la XI versión del Premio a la Investigación e Innovación Educativa, en el marco del Convenio 1452 de 2017 en su componente 5."/>
    <n v="80111621"/>
    <x v="9"/>
    <s v="Alexandra Diaz"/>
    <x v="0"/>
    <x v="4"/>
    <x v="1"/>
    <n v="7"/>
    <s v="Directa"/>
    <s v="Directa"/>
    <n v="0"/>
    <n v="0"/>
    <n v="0"/>
    <n v="0"/>
    <n v="0"/>
    <n v="0"/>
    <n v="0"/>
    <m/>
    <x v="3"/>
    <x v="0"/>
    <m/>
    <n v="0"/>
  </r>
  <r>
    <m/>
    <m/>
    <m/>
    <m/>
    <m/>
    <s v="Reconocimiento docente"/>
    <n v="245"/>
    <n v="0"/>
    <s v="Prestación de servicios para adelantar el proceso de evaluación de los proyectos de investigación e innovación habilitados, en la XI versión del Premio de Investigación e Innovación Educativa, en el marco del Convenio 1452 de 2017 en su componente 5."/>
    <n v="80111621"/>
    <x v="9"/>
    <s v="Alexandra Díaz"/>
    <x v="0"/>
    <x v="2"/>
    <x v="0"/>
    <n v="5"/>
    <s v="Directa"/>
    <s v="Directa"/>
    <n v="0"/>
    <n v="278334000"/>
    <n v="278334000"/>
    <n v="0"/>
    <n v="0"/>
    <n v="0"/>
    <n v="0"/>
    <m/>
    <x v="3"/>
    <x v="0"/>
    <n v="0"/>
    <n v="0"/>
  </r>
  <r>
    <m/>
    <m/>
    <m/>
    <m/>
    <m/>
    <s v="Reconocimiento docente"/>
    <n v="246"/>
    <n v="0"/>
    <s v="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
    <n v="80111621"/>
    <x v="5"/>
    <s v="María Isabel Ramírez"/>
    <x v="0"/>
    <x v="4"/>
    <x v="0"/>
    <n v="7"/>
    <s v="Directa"/>
    <s v="Directa"/>
    <n v="0"/>
    <n v="432523468"/>
    <n v="432523468"/>
    <n v="0"/>
    <n v="0"/>
    <n v="432523468"/>
    <n v="432523468"/>
    <d v="2017-05-16T00:00:00"/>
    <x v="5"/>
    <x v="0"/>
    <d v="2017-05-16T00:00:00"/>
    <s v="CORPORACION MIXTA PARA LA INVESTIGACION Y DESARROLLO DE LA EDUCACION - CORPOEDUCACION"/>
  </r>
  <r>
    <m/>
    <m/>
    <m/>
    <m/>
    <m/>
    <s v="Reconocimiento docente"/>
    <n v="247"/>
    <n v="0"/>
    <s v="Prestación de servicios profesionales para apoyar la gestión académica, logística y administrativa de las actividades culturales, académicas e incentivos, en el marco del Convenio 1452 de 2017 en su componente 5."/>
    <n v="80111621"/>
    <x v="5"/>
    <s v="María Isabel Ramírez"/>
    <x v="0"/>
    <x v="1"/>
    <x v="0"/>
    <n v="8"/>
    <s v="Directa"/>
    <s v="Directa"/>
    <n v="0"/>
    <n v="36682979"/>
    <n v="36682979"/>
    <n v="1"/>
    <n v="0"/>
    <n v="36682979"/>
    <n v="36682979"/>
    <d v="2017-04-19T00:00:00"/>
    <x v="1"/>
    <x v="0"/>
    <n v="50"/>
    <s v="OSCAR JULIO SEGURA MARTINEZ"/>
  </r>
  <r>
    <m/>
    <m/>
    <m/>
    <m/>
    <m/>
    <s v="Reconocimiento docente"/>
    <n v="254"/>
    <n v="0"/>
    <s v="Prestación de servicios para apoyar la participación de los maestros, maestras y directivos docentes del sector oficial en el 13er Congreso Nacional de Lectura: Iguales pero diversos, en el marco del Convenio 1452 de 2017."/>
    <n v="80111621"/>
    <x v="5"/>
    <s v="María Isabel Ramírez"/>
    <x v="0"/>
    <x v="1"/>
    <x v="0"/>
    <n v="1"/>
    <s v="Directa"/>
    <s v="Directa"/>
    <n v="0"/>
    <n v="30000000"/>
    <n v="30000000"/>
    <n v="1"/>
    <n v="0"/>
    <n v="30000000"/>
    <n v="30000000"/>
    <d v="2017-04-26T00:00:00"/>
    <x v="1"/>
    <x v="0"/>
    <n v="60"/>
    <s v="FUNDALECTURA"/>
  </r>
  <r>
    <m/>
    <m/>
    <m/>
    <m/>
    <m/>
    <s v="Sostenibilidad del SiG en el ámbito de los Subsistemas de Calidad  , Control interno, Seguridad de la Información y Gestión Documental y Archivo"/>
    <n v="180"/>
    <n v="0"/>
    <s v="Prestación de servicios profesionales para apoyar la implementación, monitoreo, soporte y sostenibilidad de los Subsistemas de Gestión de Calidad, Control Interno y Responsabilidad Social; así como para la implementación, monitoreo, soporte y sostenibilidad del Sistema Integrado de Gestión SIG del IDEP."/>
    <n v="80111600"/>
    <x v="11"/>
    <s v="Jefe Oficina Asesora de Planeación"/>
    <x v="1"/>
    <x v="5"/>
    <x v="0"/>
    <n v="10"/>
    <s v="Directa"/>
    <s v="Directa"/>
    <n v="44250000"/>
    <n v="0"/>
    <n v="44250000"/>
    <n v="1"/>
    <n v="44250000"/>
    <n v="0"/>
    <n v="44250000"/>
    <d v="2017-03-08T00:00:00"/>
    <x v="2"/>
    <x v="0"/>
    <n v="29"/>
    <s v="NELSON RODRIGUEZ BUITRAGO"/>
  </r>
  <r>
    <m/>
    <m/>
    <m/>
    <m/>
    <m/>
    <s v="Sostenibilidad del SiG en el ámbito de los Subsistemas de Calidad  , Control interno, Seguridad de la Información y Gestión Documental y Archivo"/>
    <n v="181"/>
    <n v="0"/>
    <s v="Prestación de servicios profesionales para apoyar los procesos de planeación, control a la ejecución, seguimiento a la inversión y verificación de cumplimiento a las metas, proyectos, planes, programas e indicadores del IDEP."/>
    <n v="80111600"/>
    <x v="11"/>
    <s v="Jefe Oficina Asesora de Planeación"/>
    <x v="1"/>
    <x v="5"/>
    <x v="0"/>
    <n v="10"/>
    <s v="Directa"/>
    <s v="Directa"/>
    <n v="43200000"/>
    <n v="0"/>
    <n v="43200000"/>
    <n v="1"/>
    <n v="43200000"/>
    <n v="0"/>
    <n v="43200000"/>
    <d v="2017-03-14T00:00:00"/>
    <x v="2"/>
    <x v="0"/>
    <n v="36"/>
    <s v="CAROLINA ORTIZ TOVAR"/>
  </r>
  <r>
    <m/>
    <m/>
    <m/>
    <m/>
    <m/>
    <s v="Sostenibilidad del SiG en el ámbito de los Subsistemas de Calidad  , Control interno, Seguridad de la Información y Gestión Documental y Archivo"/>
    <n v="181"/>
    <n v="0"/>
    <s v="SALDO "/>
    <n v="0"/>
    <x v="7"/>
    <n v="0"/>
    <x v="1"/>
    <x v="6"/>
    <x v="1"/>
    <n v="0"/>
    <n v="0"/>
    <n v="0"/>
    <n v="1050000"/>
    <n v="0"/>
    <n v="1050000"/>
    <n v="0"/>
    <n v="0"/>
    <n v="0"/>
    <n v="0"/>
    <m/>
    <x v="3"/>
    <x v="0"/>
    <n v="0"/>
    <n v="0"/>
  </r>
  <r>
    <m/>
    <m/>
    <m/>
    <m/>
    <m/>
    <s v="Sostenibilidad del SiG en el ámbito de los Subsistemas de Calidad  , Control interno, Seguridad de la Información y Gestión Documental y Archivo"/>
    <n v="186"/>
    <n v="0"/>
    <s v="Prestación de servicios profesionales para apoyar el seguimiento a los planes, proyectos, metas, indicadores del IDEP, así como para el cumplimiento de los procedimientos establecidos en el proceso de Dirección y Planeación que hace parte del Sistema Integrado de Gestión SIG."/>
    <n v="80111600"/>
    <x v="11"/>
    <s v="Jefe Oficina Asesora de Planeación"/>
    <x v="1"/>
    <x v="5"/>
    <x v="0"/>
    <n v="10"/>
    <s v="Directa"/>
    <s v="Directa"/>
    <n v="37601667"/>
    <n v="0"/>
    <n v="37601667"/>
    <n v="1"/>
    <n v="37601667"/>
    <n v="0"/>
    <n v="37601667"/>
    <d v="2017-03-09T00:00:00"/>
    <x v="2"/>
    <x v="0"/>
    <n v="31"/>
    <s v="VIVIANA MONROY PRECIADO"/>
  </r>
  <r>
    <m/>
    <m/>
    <m/>
    <m/>
    <m/>
    <s v="Sostenibilidad del SiG en el ámbito de los Subsistemas de Calidad  , Control interno, Seguridad de la Información y Gestión Documental y Archivo"/>
    <n v="108"/>
    <n v="0"/>
    <s v="Prestación de servicios profesionales como abogado, para realizar la representacion judicial y extrajudicial de la entidad, y el apoyo jurÍdico en los diferentes procesos de la gestión jurídica y contractual."/>
    <n v="80111600"/>
    <x v="12"/>
    <s v="Oficina Asesora Jurídica"/>
    <x v="2"/>
    <x v="5"/>
    <x v="0"/>
    <n v="10"/>
    <s v="Directa"/>
    <s v="Directa"/>
    <n v="70324410"/>
    <n v="0"/>
    <n v="70324410"/>
    <n v="1"/>
    <n v="70324410"/>
    <n v="0"/>
    <n v="70324410"/>
    <d v="2017-02-27T00:00:00"/>
    <x v="0"/>
    <x v="0"/>
    <n v="7"/>
    <s v="EDISON BARRERO TORRES"/>
  </r>
  <r>
    <m/>
    <m/>
    <m/>
    <m/>
    <m/>
    <s v="Sostenibilidad del SiG en el ámbito de los Subsistemas de Calidad  , Control interno, Seguridad de la Información y Gestión Documental y Archivo"/>
    <n v="109"/>
    <n v="0"/>
    <s v="Prestación de servicios profesionales como abogado para apoyar jurÍdicamente en los diferentes procesos de la gestión jurídica y contractual."/>
    <n v="80111600"/>
    <x v="12"/>
    <s v="Oficina Asesora Jurídica"/>
    <x v="2"/>
    <x v="0"/>
    <x v="0"/>
    <n v="10"/>
    <s v="Directa"/>
    <s v="Directa"/>
    <n v="31500000"/>
    <n v="0"/>
    <n v="31500000"/>
    <n v="1"/>
    <n v="31500000"/>
    <n v="0"/>
    <n v="31500000"/>
    <d v="2017-02-16T00:00:00"/>
    <x v="0"/>
    <x v="0"/>
    <n v="6"/>
    <s v="STEFANIA ORTEGA LUGO"/>
  </r>
  <r>
    <m/>
    <m/>
    <m/>
    <m/>
    <m/>
    <s v="Sostenibilidad del SiG en el ámbito de los Subsistemas de Calidad  , Control interno, Seguridad de la Información y Gestión Documental y Archivo"/>
    <n v="155"/>
    <n v="0"/>
    <s v="Prestación de servicios profesionales para apoyar la implementación del Sistema Integrado de Gestión"/>
    <n v="80111600"/>
    <x v="13"/>
    <s v="Oficina Asesora de Planeación"/>
    <x v="1"/>
    <x v="8"/>
    <x v="0"/>
    <n v="2"/>
    <s v="Directa"/>
    <s v="Directa"/>
    <n v="1315890"/>
    <n v="0"/>
    <n v="1315890"/>
    <n v="0"/>
    <n v="0"/>
    <n v="0"/>
    <n v="0"/>
    <m/>
    <x v="3"/>
    <x v="0"/>
    <n v="0"/>
    <n v="0"/>
  </r>
  <r>
    <m/>
    <m/>
    <m/>
    <m/>
    <m/>
    <s v="Sostenibilidad del SiG en el ámbito de los Subsistemas de Calidad  , Control interno, Seguridad de la Información y Gestión Documental y Archivo"/>
    <n v="163"/>
    <n v="0"/>
    <s v="Prestar servicios profesionales para realizar la documentación de los procesos y procedimientos que hacen parte del Sistema Integrado de Gestión"/>
    <n v="80111601"/>
    <x v="11"/>
    <s v="Jefe Oficina Asesora de Planeación"/>
    <x v="1"/>
    <x v="0"/>
    <x v="1"/>
    <n v="3"/>
    <s v="Directa"/>
    <s v="Directa"/>
    <n v="0"/>
    <n v="0"/>
    <n v="0"/>
    <n v="0"/>
    <n v="0"/>
    <n v="0"/>
    <n v="0"/>
    <m/>
    <x v="3"/>
    <x v="1"/>
    <n v="0"/>
    <n v="0"/>
  </r>
  <r>
    <m/>
    <m/>
    <m/>
    <m/>
    <m/>
    <s v="Sostenibilidad del SiG en el ámbito de los Subsistemas de Calidad  , Control interno, Seguridad de la Información y Gestión Documental y Archivo"/>
    <n v="189"/>
    <n v="0"/>
    <s v="Prestación de servicios profesionales para apoyar el levantamiento y documentación de procesos, procedimientos, manuales, instructivos, formatos, riesgos, indicadores y demás documentos e instrumentos requeridos para los procesos de la Entidad, como parte de las estrategias de implementación, monitoreo, soporte y sostenibilidad del Sistema Integrado de Gestión SIG del IDEP en el marco de la norma NTD-SIG 001:2011."/>
    <n v="80111601"/>
    <x v="11"/>
    <s v="Jefe Oficina Asesora de Planeación"/>
    <x v="1"/>
    <x v="5"/>
    <x v="0"/>
    <n v="2"/>
    <s v="Directa"/>
    <s v="Directa"/>
    <n v="6000000"/>
    <n v="0"/>
    <n v="6000000"/>
    <n v="1"/>
    <n v="6000000"/>
    <n v="0"/>
    <n v="6000000"/>
    <d v="2017-03-28T00:00:00"/>
    <x v="2"/>
    <x v="0"/>
    <n v="41"/>
    <s v="EMILIANO BRICEÑO CARDENAS"/>
  </r>
  <r>
    <m/>
    <m/>
    <m/>
    <m/>
    <m/>
    <s v="Sostenibilidad del SiG en el ámbito de los Subsistemas de Calidad  , Control interno, Seguridad de la Información y Gestión Documental y Archivo"/>
    <n v="273"/>
    <n v="0"/>
    <s v="Suministro, instalación, configuración, licenciamiento, soporte técnico y puesta en marcha de una solución tecnológica Hiperconvergente"/>
    <s v="43201834_x000a_ 43201835_x000a_43211501_x000a_ 43211502_x000a_ 43222501_x000a_ 43222502_x000a_ 43233203_x000a_ 43233204_x000a_81112210_x000a_81112301_x000a_ 81112305_x000a_81112501"/>
    <x v="11"/>
    <s v="Jefe Oficina Asesora de Planeación"/>
    <x v="1"/>
    <x v="7"/>
    <x v="0"/>
    <n v="2"/>
    <s v="Selección Abreviada Menor Cuantía"/>
    <s v="Licitación Pública"/>
    <n v="251473803"/>
    <n v="15637000"/>
    <n v="267110803"/>
    <n v="0"/>
    <n v="0"/>
    <n v="0"/>
    <n v="0"/>
    <m/>
    <x v="3"/>
    <x v="0"/>
    <n v="0"/>
    <n v="0"/>
  </r>
  <r>
    <m/>
    <m/>
    <m/>
    <m/>
    <m/>
    <s v="Sostenibilidad del SiG en el ámbito de los Subsistemas de Calidad  , Control interno, Seguridad de la Información y Gestión Documental y Archivo"/>
    <n v="113"/>
    <n v="0"/>
    <s v="Prestación de servicios profesionales para desarrollar acciones de  sostenibilidad, evaluación y seguimiento  del Sistema de Control Interno,  con el fin de promover  la eficacia y eficiencia de los  procesos del IDEP."/>
    <n v="80111600"/>
    <x v="11"/>
    <s v="Jefe Oficina Asesora de Planeación"/>
    <x v="1"/>
    <x v="5"/>
    <x v="0"/>
    <n v="10"/>
    <s v="Directa"/>
    <s v="Directa"/>
    <n v="33566280"/>
    <n v="0"/>
    <n v="33566280"/>
    <n v="1"/>
    <n v="33566280"/>
    <n v="0"/>
    <n v="33566280"/>
    <d v="2017-03-06T00:00:00"/>
    <x v="2"/>
    <x v="0"/>
    <n v="26"/>
    <s v="NADIA PINEDA SARMIENTO"/>
  </r>
  <r>
    <m/>
    <m/>
    <m/>
    <m/>
    <m/>
    <s v="Sostenibilidad del SiG en el ámbito de los Subsistemas de Calidad  , Control interno, Seguridad de la Información y Gestión Documental y Archivo"/>
    <n v="113"/>
    <n v="0"/>
    <s v="SALDO"/>
    <n v="0"/>
    <x v="7"/>
    <n v="0"/>
    <x v="1"/>
    <x v="6"/>
    <x v="1"/>
    <n v="0"/>
    <n v="0"/>
    <n v="0"/>
    <n v="568920"/>
    <n v="0"/>
    <n v="568920"/>
    <n v="0"/>
    <n v="0"/>
    <n v="0"/>
    <n v="0"/>
    <m/>
    <x v="3"/>
    <x v="0"/>
    <n v="0"/>
    <n v="0"/>
  </r>
  <r>
    <m/>
    <m/>
    <m/>
    <m/>
    <m/>
    <s v="Sostenibilidad del SiG en el ámbito de los Subsistemas de Calidad  , Control interno, Seguridad de la Información y Gestión Documental y Archivo"/>
    <n v="114"/>
    <n v="0"/>
    <s v="Prestación de servicios para apoyar en la organización del  archivo de la entidad como gestión dentro del subsistema de gestión documental"/>
    <n v="80111600"/>
    <x v="14"/>
    <s v="Subdirector Administrativo"/>
    <x v="3"/>
    <x v="5"/>
    <x v="0"/>
    <n v="9"/>
    <s v="Directa"/>
    <s v="Directa"/>
    <n v="19800000"/>
    <n v="0"/>
    <n v="19800000"/>
    <n v="1"/>
    <n v="19800000"/>
    <n v="0"/>
    <n v="19800000"/>
    <d v="2017-03-13T00:00:00"/>
    <x v="2"/>
    <x v="0"/>
    <n v="34"/>
    <s v="LAURA RAMIREZ GARCIA"/>
  </r>
  <r>
    <m/>
    <m/>
    <m/>
    <m/>
    <m/>
    <s v="Sostenibilidad del SiG en el ámbito de los Subsistemas de Calidad  , Control interno, Seguridad de la Información y Gestión Documental y Archivo"/>
    <n v="182"/>
    <n v="0"/>
    <s v="Prestación de servicios profesionales para apoyar el monitoreo, soporte, mantenimiento y sostenibilidad de los sistemas de información y la infraestructura tecnológica del IDEP y la implementación del Subsistema de Seguridad de la Información que hace parte del Sistema Integrado de Gestión de la entidad."/>
    <n v="80111600"/>
    <x v="11"/>
    <s v="Jefe Oficina Asesora de Planeación"/>
    <x v="1"/>
    <x v="5"/>
    <x v="0"/>
    <n v="10"/>
    <s v="Directa"/>
    <s v="Directa"/>
    <n v="53547520"/>
    <n v="0"/>
    <n v="53547520"/>
    <n v="1"/>
    <n v="53547520"/>
    <n v="0"/>
    <n v="53547520"/>
    <d v="2017-03-07T00:00:00"/>
    <x v="2"/>
    <x v="0"/>
    <n v="28"/>
    <s v="JAIME ACOSTA DIAZ"/>
  </r>
  <r>
    <m/>
    <m/>
    <m/>
    <m/>
    <m/>
    <s v="Sostenibilidad del SIG en el ámbito de los Subsistemas de la Gestión Ambiental , Seguridad y salud en el trabajo, y la Responsabilidad Social"/>
    <n v="116"/>
    <n v="0"/>
    <s v="Prestar servicios profesionales para realizar la implementación de los procedimientos asociados a la Gestión de Talento Humano de la entidad."/>
    <n v="80111600"/>
    <x v="14"/>
    <n v="0"/>
    <x v="3"/>
    <x v="5"/>
    <x v="1"/>
    <n v="11"/>
    <s v="Directa"/>
    <s v="Directa"/>
    <n v="0"/>
    <n v="0"/>
    <n v="0"/>
    <n v="0"/>
    <n v="0"/>
    <n v="0"/>
    <n v="0"/>
    <m/>
    <x v="3"/>
    <x v="1"/>
    <n v="0"/>
    <n v="0"/>
  </r>
  <r>
    <m/>
    <m/>
    <m/>
    <m/>
    <m/>
    <s v="Sostenibilidad del SIG en el ámbito de los Subsistemas de la Gestión Ambiental , Seguridad y salud en el trabajo, y la Responsabilidad Social"/>
    <n v="185"/>
    <n v="0"/>
    <s v="Prestar servicios profesionales para apoyar en la gestión de los procesos asociados con el área de Talento Humano de la entidad."/>
    <n v="80111600"/>
    <x v="14"/>
    <s v="Subdirector Administrativo"/>
    <x v="3"/>
    <x v="5"/>
    <x v="0"/>
    <n v="11"/>
    <s v="Directa"/>
    <s v="Directa"/>
    <n v="39600000"/>
    <n v="0"/>
    <n v="39600000"/>
    <n v="1"/>
    <n v="39600000"/>
    <n v="0"/>
    <n v="39600000"/>
    <d v="2017-03-14T00:00:00"/>
    <x v="2"/>
    <x v="0"/>
    <n v="35"/>
    <s v="DIEGO VARGAS VARGAS"/>
  </r>
  <r>
    <m/>
    <m/>
    <m/>
    <m/>
    <m/>
    <s v="Sostenibilidad del SIG en el ámbito de los Subsistemas de la Gestión Ambiental , Seguridad y salud en el trabajo, y la Responsabilidad Social"/>
    <n v="156"/>
    <n v="0"/>
    <s v="Prestar servicios profesionales para  apoyar las actividades del proceso de gestión de Talento Humano "/>
    <n v="80111600"/>
    <x v="14"/>
    <s v="Subdirector Administrativo"/>
    <x v="3"/>
    <x v="1"/>
    <x v="1"/>
    <n v="4"/>
    <s v="Directa"/>
    <s v="Directa"/>
    <n v="0"/>
    <n v="0"/>
    <n v="0"/>
    <n v="0"/>
    <n v="0"/>
    <n v="0"/>
    <n v="0"/>
    <m/>
    <x v="3"/>
    <x v="1"/>
    <n v="0"/>
    <n v="0"/>
  </r>
  <r>
    <m/>
    <m/>
    <m/>
    <m/>
    <m/>
    <s v="Sostenibilidad del SIG en el ámbito de los Subsistemas de la Gestión Ambiental , Seguridad y salud en el trabajo, y la Responsabilidad Social"/>
    <n v="179"/>
    <n v="0"/>
    <s v="Prestar servicios profesionales para  realizar acompañamiento en temas de seguridad y salud en el trabajo y  tercerización de liquidación de  Nómina. "/>
    <n v="80111600"/>
    <x v="14"/>
    <s v="Subdirector Administrativo"/>
    <x v="3"/>
    <x v="4"/>
    <x v="1"/>
    <n v="1"/>
    <s v="Directa"/>
    <s v="Directa"/>
    <n v="0"/>
    <n v="0"/>
    <n v="0"/>
    <n v="0"/>
    <n v="0"/>
    <n v="0"/>
    <n v="0"/>
    <m/>
    <x v="3"/>
    <x v="1"/>
    <n v="0"/>
    <n v="0"/>
  </r>
  <r>
    <m/>
    <m/>
    <m/>
    <m/>
    <m/>
    <s v="Sostenibilidad del SIG en el ámbito de los Subsistemas de la Gestión Ambiental , Seguridad y salud en el trabajo, y la Responsabilidad Social"/>
    <n v="259"/>
    <n v="0"/>
    <s v="Adición No. 01 contrato 111 de 2016 &quot;Prestación de servicios profesionales para el acompañamiento en los procesos de transición e implementación del Nuevo Marco Normativo para Entidades del Gobierno, en convergencia con Normas Internacionales de Información Financiera NIIF y Normas Internacionales de Contabilidad para el Sector Público - NICSP&quot;."/>
    <n v="80111600"/>
    <x v="15"/>
    <s v="Profesional 222-05"/>
    <x v="3"/>
    <x v="4"/>
    <x v="0"/>
    <n v="3"/>
    <s v="Directa"/>
    <s v="Directa"/>
    <n v="10710000"/>
    <n v="0"/>
    <n v="10710000"/>
    <n v="0"/>
    <n v="10710000"/>
    <n v="0"/>
    <n v="10710000"/>
    <d v="2017-05-11T00:00:00"/>
    <x v="5"/>
    <x v="0"/>
    <n v="111"/>
    <s v="DIEGO ARMANDO GUTIERREZ DIMATE"/>
  </r>
  <r>
    <m/>
    <m/>
    <m/>
    <m/>
    <m/>
    <s v="Sostenibilidad del SIG en el ámbito de los Subsistemas de la Gestión Ambiental , Seguridad y salud en el trabajo, y la Responsabilidad Social"/>
    <n v="260"/>
    <n v="0"/>
    <s v="Prestación de servicios para apoyar el seguimiento a planes de mejoramiento, programas e indicadores de la subdirección Administrativa, Financiera y de Control Disciplinario."/>
    <n v="80111600"/>
    <x v="14"/>
    <s v="Subdirector Administrativo"/>
    <x v="3"/>
    <x v="4"/>
    <x v="0"/>
    <n v="6"/>
    <s v="Directa"/>
    <s v="Directa"/>
    <n v="20400000"/>
    <n v="0"/>
    <n v="20400000"/>
    <n v="1"/>
    <n v="20400000"/>
    <n v="0"/>
    <n v="20400000"/>
    <d v="2017-05-30T00:00:00"/>
    <x v="5"/>
    <x v="0"/>
    <n v="90"/>
    <s v="MARÍA ANGÉLICA MARTÍNEZ VERGARA"/>
  </r>
  <r>
    <m/>
    <m/>
    <m/>
    <m/>
    <m/>
    <s v="Sostenibilidad del SIG en el ámbito de los Subsistemas de la Gestión Ambiental , Seguridad y salud en el trabajo, y la Responsabilidad Social"/>
    <n v="0"/>
    <n v="0"/>
    <s v="Prestación de servicios para realizar la medición de intensidad luminosa y de temperatura en las instalaciones del IDEP, en el marco de la implementación del Sistema de Seguridad y Salud en el trabajo"/>
    <n v="80111600"/>
    <x v="14"/>
    <s v="Subdirector Administrativo"/>
    <x v="3"/>
    <x v="4"/>
    <x v="1"/>
    <n v="1"/>
    <s v="Minima cuantia"/>
    <s v="Minima Cuantia"/>
    <n v="0"/>
    <n v="0"/>
    <n v="0"/>
    <n v="0"/>
    <n v="0"/>
    <n v="0"/>
    <n v="0"/>
    <m/>
    <x v="3"/>
    <x v="1"/>
    <n v="0"/>
    <n v="0"/>
  </r>
  <r>
    <m/>
    <m/>
    <m/>
    <m/>
    <m/>
    <s v="Sostenibilidad del SIG en el ámbito de los Subsistemas de la Gestión Ambiental , Seguridad y salud en el trabajo, y la Responsabilidad Social"/>
    <n v="262"/>
    <n v="0"/>
    <s v="Prestación de servicios para identificar, evaluar, prevenir, intervenir y monitorear la exposición a factores de riesgo psicosocial en el trabajo, en el marco de la implementación del Sistema de Seguridad y Salud en el trabajo"/>
    <n v="80111600"/>
    <x v="14"/>
    <s v="Subdirector Administrativo"/>
    <x v="3"/>
    <x v="2"/>
    <x v="0"/>
    <n v="1"/>
    <s v="Minima cuantia"/>
    <s v="Minima Cuantia"/>
    <n v="2531553"/>
    <n v="0"/>
    <n v="2531553"/>
    <n v="0"/>
    <n v="0"/>
    <n v="0"/>
    <n v="0"/>
    <m/>
    <x v="3"/>
    <x v="0"/>
    <n v="0"/>
    <n v="0"/>
  </r>
  <r>
    <m/>
    <m/>
    <m/>
    <m/>
    <m/>
    <s v="Sostenibilidad del SIG en el ámbito de los Subsistemas de la Gestión Ambiental , Seguridad y salud en el trabajo, y la Responsabilidad Social"/>
    <n v="117"/>
    <n v="0"/>
    <s v="Prestacion de servicios profesionales para apoyar y gestionar las actividades relacionadas con el subsistema de Gestión Ambiental, y Seguridad y Salud en el Trabajo"/>
    <n v="80111600"/>
    <x v="14"/>
    <s v="Subdirector Administrativo"/>
    <x v="3"/>
    <x v="2"/>
    <x v="0"/>
    <n v="9"/>
    <s v="Directa"/>
    <s v="Directa"/>
    <n v="30033333"/>
    <n v="0"/>
    <n v="30033333"/>
    <n v="1"/>
    <n v="30033333"/>
    <n v="0"/>
    <n v="30033333"/>
    <d v="2017-04-07T00:00:00"/>
    <x v="1"/>
    <x v="0"/>
    <n v="43"/>
    <s v="MARIO GARCIA ANGEL"/>
  </r>
  <r>
    <m/>
    <m/>
    <m/>
    <m/>
    <m/>
    <s v="Sostenibilidad del SIG en el ámbito de los Subsistemas de la Gestión Ambiental , Seguridad y salud en el trabajo, y la Responsabilidad Social"/>
    <n v="118"/>
    <n v="0"/>
    <s v="Prestación de servicios de apoyo a la gestión para fortalecer el Subsistema de Responsabilidad Social a través de acciones que propicien las condiciones institucionales, culturales y una gestión pública transparente en el IDEP."/>
    <n v="80111600"/>
    <x v="11"/>
    <s v="Jefe Oficina Asesora de Planeación"/>
    <x v="1"/>
    <x v="9"/>
    <x v="0"/>
    <n v="4"/>
    <s v="Directa"/>
    <s v="Directa"/>
    <n v="7912624"/>
    <n v="0"/>
    <n v="7912624"/>
    <n v="0"/>
    <n v="0"/>
    <n v="0"/>
    <n v="0"/>
    <m/>
    <x v="3"/>
    <x v="0"/>
    <n v="0"/>
    <n v="0"/>
  </r>
</pivotCacheRecords>
</file>

<file path=xl/pivotCache/pivotCacheRecords2.xml><?xml version="1.0" encoding="utf-8"?>
<pivotCacheRecords xmlns="http://schemas.openxmlformats.org/spreadsheetml/2006/main" xmlns:r="http://schemas.openxmlformats.org/officeDocument/2006/relationships" count="59">
  <r>
    <s v="Adquisición de Bienes "/>
    <s v="Dotación"/>
    <n v="263"/>
    <n v="1"/>
    <s v="Compra de dotación  Integral (vestido y calzado de labor), que tienen derecho a ella por disposiciones de Ley para el año 2017"/>
    <n v="93141506"/>
    <s v="Profesional Especializado 222-03 _x000a_Área de Talento Humano"/>
    <s v="Subdirección Administrativa financiera"/>
    <x v="0"/>
    <x v="0"/>
    <m/>
    <n v="1"/>
    <s v="TIENDA VIRTUAL - COLOMBIA COMPRA EFICIENTE"/>
    <s v="Selección _x000a_Abreviada"/>
    <n v="1358990"/>
    <n v="0"/>
    <n v="1358990"/>
    <n v="1"/>
    <n v="1358990"/>
    <n v="0"/>
    <n v="1358990"/>
    <d v="2017-05-18T00:00:00"/>
    <x v="0"/>
    <m/>
    <s v="83-84-85-86"/>
    <s v="SERVICIO NACIONAL DE APRENDIZAJE -SENA"/>
  </r>
  <r>
    <s v="Adquisición de Bienes "/>
    <s v="Dotación"/>
    <n v="263"/>
    <n v="0"/>
    <s v="SALDO"/>
    <n v="0"/>
    <n v="0"/>
    <n v="0"/>
    <x v="1"/>
    <x v="1"/>
    <s v="Saldo"/>
    <n v="0"/>
    <n v="0"/>
    <n v="0"/>
    <n v="3141010"/>
    <n v="0"/>
    <n v="3141010"/>
    <n v="0"/>
    <n v="0"/>
    <n v="0"/>
    <n v="0"/>
    <m/>
    <x v="1"/>
    <m/>
    <n v="0"/>
    <n v="0"/>
  </r>
  <r>
    <s v="Adquisición de Bienes "/>
    <s v="Dotación"/>
    <n v="7"/>
    <n v="4"/>
    <s v="Prestación de servicio  de soporte y actualización del sistema de información administrativa y financiera SIAFI del IDEP"/>
    <n v="81111811"/>
    <s v="Jefe Oficina  Asesora de planeación"/>
    <s v="Oficina Asesora de Planeación"/>
    <x v="2"/>
    <x v="2"/>
    <m/>
    <n v="12"/>
    <s v="CONTRATACIÓN DIRECTA"/>
    <s v="Contratación_x000a_ Directa"/>
    <n v="30410756"/>
    <n v="0"/>
    <n v="30410756"/>
    <n v="0"/>
    <n v="0"/>
    <n v="0"/>
    <n v="0"/>
    <m/>
    <x v="1"/>
    <m/>
    <n v="0"/>
    <n v="0"/>
  </r>
  <r>
    <s v="Adquisición de Bienes "/>
    <s v="Dotación"/>
    <n v="192"/>
    <n v="0"/>
    <s v="Adición No. 1 al contrato No. 34 de 2016 Prestación de servicio  de soporte y actualización del sistema de información administrativa y financiera SIAFI del IDEP"/>
    <n v="81111811"/>
    <s v="Jefe Oficina  Asesora de planeación"/>
    <s v="Oficina Asesora de Planeación"/>
    <x v="2"/>
    <x v="3"/>
    <m/>
    <n v="4"/>
    <s v="CONTRATACIÓN DIRECTA"/>
    <s v="Contratación_x000a_ Directa"/>
    <n v="16660000"/>
    <n v="0"/>
    <n v="16660000"/>
    <n v="1"/>
    <n v="16660000"/>
    <n v="0"/>
    <n v="16660000"/>
    <d v="2017-03-24T00:00:00"/>
    <x v="2"/>
    <m/>
    <n v="34"/>
    <s v="ITGO S.A.S"/>
  </r>
  <r>
    <s v="Adquisición de Bienes "/>
    <s v="Dotación"/>
    <n v="193"/>
    <n v="6"/>
    <s v="Prestación de servicio  de soporte, actualización y mantenimiento al sistema de información HUMANO"/>
    <n v="81111811"/>
    <s v="Jefe Oficina  Asesora de planeación"/>
    <s v="Oficina Asesora de Planeación"/>
    <x v="2"/>
    <x v="4"/>
    <m/>
    <n v="12"/>
    <s v="CONTRATACIÓN DIRECTA"/>
    <s v="Contratación_x000a_ Directa"/>
    <n v="18175685"/>
    <n v="0"/>
    <n v="18175685"/>
    <n v="1"/>
    <n v="18175685"/>
    <n v="0"/>
    <n v="18175685"/>
    <d v="2017-03-28T00:00:00"/>
    <x v="2"/>
    <m/>
    <n v="40"/>
    <s v="SOPORTE LOGICO"/>
  </r>
  <r>
    <s v="Adquisición de Bienes "/>
    <s v="Dotación"/>
    <n v="9"/>
    <n v="8"/>
    <s v="Prestación de servicios para la renovación de la  licencia &quot;Oracle Database Standard Edición - Processor Perpetual&quot; con nivel de servicios &quot;Software Update License &amp; Support&quot; "/>
    <n v="81112500"/>
    <s v="Jefe Oficina  Asesora de planeación"/>
    <s v="Oficina Asesora de Planeación"/>
    <x v="2"/>
    <x v="5"/>
    <m/>
    <n v="12"/>
    <s v="TIENDA VIRTUAL - COLOMBIA COMPRA EFICIENTE"/>
    <s v="Contratación_x000a_ Directa"/>
    <n v="7647414"/>
    <n v="0"/>
    <n v="7647414"/>
    <n v="1"/>
    <n v="7647414"/>
    <n v="0"/>
    <n v="7647414"/>
    <d v="2017-01-31T00:00:00"/>
    <x v="3"/>
    <m/>
    <n v="4"/>
    <s v="ORACLE COLOMBIA LTDA"/>
  </r>
  <r>
    <s v="Adquisición de Bienes "/>
    <s v="Dotación"/>
    <n v="0"/>
    <n v="0"/>
    <s v="SALDO "/>
    <n v="81112500"/>
    <s v="Jefe Oficina  Asesora de planeación"/>
    <s v="Oficina Asesora de Planeación"/>
    <x v="2"/>
    <x v="4"/>
    <s v="Saldo"/>
    <n v="12"/>
    <s v="TIENDA VIRTUAL - COLOMBIA COMPRA EFICIENTE"/>
    <s v="Contratación_x000a_ Directa"/>
    <n v="0"/>
    <n v="0"/>
    <n v="0"/>
    <n v="0"/>
    <n v="0"/>
    <n v="0"/>
    <n v="0"/>
    <m/>
    <x v="1"/>
    <m/>
    <n v="0"/>
    <n v="0"/>
  </r>
  <r>
    <s v="Adquisición de Bienes "/>
    <s v="Dotación"/>
    <n v="10"/>
    <n v="9"/>
    <s v="Prestación de servicio para realizar el mantenimiento preventivo y correctivo de la unidad de Aire Acondicionado del cuarto de Servidores del IDEP"/>
    <n v="81112501"/>
    <s v="Jefe Oficina  Asesora de planeación"/>
    <s v="Oficina Asesora de Planeación"/>
    <x v="2"/>
    <x v="0"/>
    <m/>
    <n v="12"/>
    <s v="MINIMA CUANTÍA"/>
    <s v="Selección_x000a_ Abreviada"/>
    <n v="1010000"/>
    <n v="0"/>
    <n v="1010000"/>
    <n v="1"/>
    <n v="1010000"/>
    <n v="0"/>
    <n v="1010000"/>
    <d v="2017-05-12T00:00:00"/>
    <x v="0"/>
    <m/>
    <n v="79"/>
    <s v="CARLOS SOLANO REY"/>
  </r>
  <r>
    <s v="Adquisición de Bienes "/>
    <s v="Dotación"/>
    <n v="0"/>
    <n v="0"/>
    <s v="SALDO"/>
    <n v="0"/>
    <n v="0"/>
    <n v="0"/>
    <x v="1"/>
    <x v="1"/>
    <s v="Saldo"/>
    <n v="0"/>
    <n v="0"/>
    <n v="0"/>
    <n v="0"/>
    <n v="0"/>
    <n v="0"/>
    <n v="0"/>
    <n v="0"/>
    <n v="0"/>
    <n v="0"/>
    <m/>
    <x v="1"/>
    <m/>
    <n v="0"/>
    <n v="0"/>
  </r>
  <r>
    <s v="Adquisición de Bienes "/>
    <s v="Dotación"/>
    <n v="11"/>
    <n v="11"/>
    <s v="Compra de toner e insumos para impresiòn"/>
    <n v="44103103"/>
    <s v="Jefe Oficina  Asesora de planeación"/>
    <s v="Oficina Asesora de Planeación"/>
    <x v="2"/>
    <x v="6"/>
    <s v="Saldo"/>
    <n v="4"/>
    <s v="MINIMA CUANTÍA"/>
    <s v="Minima Cuantia"/>
    <n v="0"/>
    <n v="0"/>
    <n v="0"/>
    <n v="0"/>
    <n v="0"/>
    <n v="0"/>
    <n v="0"/>
    <m/>
    <x v="1"/>
    <m/>
    <n v="0"/>
    <n v="0"/>
  </r>
  <r>
    <s v="Adquisición de Bienes "/>
    <s v="Dotación"/>
    <n v="12"/>
    <n v="13"/>
    <s v="Prestación de servicio para realizar_x000a_el mantenimiento preventivo y correctivo de los equipos que conforman la  plataforma tecnológica del IDEP."/>
    <n v="81111812"/>
    <s v="Jefe Oficina  Asesora de planeación"/>
    <s v="Oficina Asesora de Planeación"/>
    <x v="2"/>
    <x v="0"/>
    <m/>
    <n v="11"/>
    <s v="MINIMA CUANTÍA"/>
    <s v="Mínima Cuantía"/>
    <n v="5599360"/>
    <n v="0"/>
    <n v="5599360"/>
    <n v="1"/>
    <n v="5599360"/>
    <n v="0"/>
    <n v="5599360"/>
    <d v="2017-05-12T00:00:00"/>
    <x v="0"/>
    <m/>
    <n v="80"/>
    <s v="AA MANTENIMIENTO Y COMPUTADORES S.A.S."/>
  </r>
  <r>
    <s v="Adquisición de Bienes "/>
    <s v="Dotación"/>
    <n v="12"/>
    <n v="0"/>
    <s v="SALDO"/>
    <n v="0"/>
    <n v="0"/>
    <n v="0"/>
    <x v="1"/>
    <x v="1"/>
    <s v="Saldo"/>
    <n v="0"/>
    <n v="0"/>
    <n v="0"/>
    <n v="0"/>
    <n v="0"/>
    <n v="0"/>
    <n v="0"/>
    <n v="0"/>
    <n v="0"/>
    <n v="0"/>
    <m/>
    <x v="1"/>
    <m/>
    <n v="0"/>
    <n v="0"/>
  </r>
  <r>
    <s v="Adquisición de Bienes "/>
    <s v="Dotación"/>
    <n v="13"/>
    <n v="0"/>
    <s v="Prestación de servicio para realizar el mantenimiento preventivo y correctivo los biometricos del IDEP"/>
    <n v="81111811"/>
    <s v="Jefe Oficina  Asesora de planeación"/>
    <s v="Oficina Asesora de Planeación"/>
    <x v="2"/>
    <x v="0"/>
    <s v="Saldo"/>
    <n v="11"/>
    <s v="MINIMA CUANTÍA"/>
    <s v="Minima Cuantia"/>
    <n v="0"/>
    <n v="0"/>
    <n v="0"/>
    <n v="0"/>
    <n v="0"/>
    <n v="0"/>
    <n v="0"/>
    <m/>
    <x v="1"/>
    <m/>
    <n v="0"/>
    <n v="0"/>
  </r>
  <r>
    <s v="Adquisición de Bienes "/>
    <s v="Dotación"/>
    <n v="14"/>
    <n v="0"/>
    <s v="Compra de licencia para el uso y funcionamiento del Firewall del Instituto."/>
    <s v="81112500_x000a_81112200"/>
    <s v="Jefe Oficina  Asesora de planeación"/>
    <s v="Oficina Asesora de Planeación"/>
    <x v="2"/>
    <x v="6"/>
    <s v="Saldo"/>
    <n v="12"/>
    <s v="TIENDA VIRTUAL - COLOMBIA COMPRA EFICIENTE"/>
    <s v="Minima Cuantia"/>
    <n v="0"/>
    <n v="0"/>
    <n v="0"/>
    <n v="0"/>
    <n v="0"/>
    <n v="0"/>
    <n v="0"/>
    <m/>
    <x v="1"/>
    <m/>
    <n v="0"/>
    <n v="0"/>
  </r>
  <r>
    <s v="Adquisición de Bienes "/>
    <s v="Dotación"/>
    <n v="15"/>
    <n v="0"/>
    <s v="Prestación de servicios para la adquisición de licencias Google Apps"/>
    <n v="81112501"/>
    <s v="Jefe Oficina  Asesora de planeación"/>
    <s v="Oficina Asesora de Planeación"/>
    <x v="2"/>
    <x v="4"/>
    <m/>
    <n v="8"/>
    <s v="TIENDA VIRTUAL - COLOMBIA COMPRA EFICIENTE"/>
    <s v="Selección_x000a_ Abreviada"/>
    <n v="14950762"/>
    <n v="0"/>
    <n v="14950762"/>
    <n v="1"/>
    <n v="14950762"/>
    <n v="0"/>
    <n v="14950762"/>
    <d v="2017-04-07T00:00:00"/>
    <x v="4"/>
    <m/>
    <n v="44"/>
    <s v="EFORCERS"/>
  </r>
  <r>
    <s v="Adquisición de Bienes "/>
    <s v="Dotación"/>
    <n v="0"/>
    <n v="0"/>
    <s v="SALDO"/>
    <n v="0"/>
    <n v="0"/>
    <n v="0"/>
    <x v="1"/>
    <x v="1"/>
    <s v="Saldo"/>
    <n v="0"/>
    <n v="0"/>
    <n v="0"/>
    <n v="0"/>
    <n v="0"/>
    <n v="0"/>
    <n v="0"/>
    <n v="0"/>
    <n v="0"/>
    <n v="0"/>
    <m/>
    <x v="1"/>
    <m/>
    <n v="0"/>
    <n v="0"/>
  </r>
  <r>
    <s v="Adquisición de Bienes "/>
    <s v="Dotación"/>
    <n v="275"/>
    <n v="0"/>
    <s v="Adquisición de licencias de seguridad perimetral Firewall Appliance"/>
    <s v="81112500_x000a_81112200"/>
    <s v="Jefe Oficina  Asesora de planeación"/>
    <s v="Oficina Asesora de Planeación"/>
    <x v="2"/>
    <x v="7"/>
    <m/>
    <n v="12"/>
    <s v=" _x000a_Selección abreviada de menor cuantía"/>
    <n v="0"/>
    <n v="35000000"/>
    <n v="0"/>
    <n v="35000000"/>
    <n v="0"/>
    <n v="0"/>
    <n v="0"/>
    <n v="0"/>
    <m/>
    <x v="1"/>
    <m/>
    <n v="0"/>
    <n v="0"/>
  </r>
  <r>
    <s v="Adquisición de Bienes "/>
    <s v="Dotación"/>
    <n v="274"/>
    <n v="0"/>
    <s v="Adquisición de licencias Suite Ofimática y licencias para la administración de bases de datos."/>
    <s v="81112500_x000a_81112200"/>
    <s v="Jefe Oficina  Asesora de planeación"/>
    <s v="Oficina Asesora de Planeación"/>
    <x v="2"/>
    <x v="7"/>
    <m/>
    <n v="3"/>
    <s v="Mínima Cuantía"/>
    <n v="0"/>
    <n v="7646023"/>
    <n v="0"/>
    <n v="7646023"/>
    <n v="0"/>
    <n v="0"/>
    <n v="0"/>
    <n v="0"/>
    <m/>
    <x v="1"/>
    <m/>
    <n v="0"/>
    <n v="0"/>
  </r>
  <r>
    <s v="Adquisición de Bienes "/>
    <s v="Dotación"/>
    <n v="121"/>
    <n v="0"/>
    <s v="Prestación de servicios para realizar el mantenimiento y/o actualización de las herramientas de seguridad de la información"/>
    <n v="43211507"/>
    <s v="Jefe Oficina  Asesora de planeación"/>
    <s v="Oficina Asesora de Planeación"/>
    <x v="2"/>
    <x v="0"/>
    <s v="Saldo"/>
    <n v="3"/>
    <s v="MINIMA CUANTÍA"/>
    <s v="Minima Cuantia"/>
    <n v="0"/>
    <n v="0"/>
    <n v="0"/>
    <n v="0"/>
    <n v="0"/>
    <n v="0"/>
    <n v="0"/>
    <m/>
    <x v="1"/>
    <m/>
    <n v="0"/>
    <n v="0"/>
  </r>
  <r>
    <s v="Adquisición de Bienes "/>
    <s v="Dotación"/>
    <n v="17"/>
    <n v="0"/>
    <s v="Suministro de combustibles, lubricantes y llantas para los vehiculos que conforman el parque automotor del Instituto para  la Investigación Educativa y el Desarrollo Pedagógico - IDEP"/>
    <s v="15101506  _x000a_15121501  _x000a_25172508"/>
    <s v="Profesional Universitario 219-02 Servicios Generales"/>
    <s v="Subdirección Administrativa financiera"/>
    <x v="0"/>
    <x v="8"/>
    <m/>
    <n v="3"/>
    <s v="MINIMA CUANTÍA"/>
    <s v="Minima Cuantia "/>
    <n v="9600000"/>
    <n v="0"/>
    <n v="9600000"/>
    <n v="0"/>
    <n v="0"/>
    <n v="0"/>
    <n v="0"/>
    <m/>
    <x v="1"/>
    <m/>
    <n v="0"/>
    <n v="0"/>
  </r>
  <r>
    <s v="Adquisición de Bienes "/>
    <s v="Dotación"/>
    <n v="18"/>
    <n v="0"/>
    <s v="Suministro de papelería, útiles de escritorio y artículos de oficina y toners originales para las impresoras del Instituto para la Investigación Educativa y el Desarrollo Pedagógico - IDEP"/>
    <s v="14111507  44121613 _x000a_44121701 44121704 _x000a_44121706 44121708_x000a_ 44121804 44122119_x000a_ 31201517 14111530_x000a_ 42312009 44121630_x000a_ 44121619 44111515 _x000a_44122027 14111514 _x000a_44121503 60101312 "/>
    <s v="Profesional Universitario 219-02 Servicios Generales"/>
    <s v="Subdirección Administrativa financiera"/>
    <x v="0"/>
    <x v="9"/>
    <m/>
    <n v="10"/>
    <s v="TIENDA VIRTUAL - COLOMBIA COMPRA EFICIENTE"/>
    <s v="Selección _x000a_Abreviada"/>
    <n v="10000000"/>
    <n v="0"/>
    <n v="10000000"/>
    <n v="0"/>
    <n v="0"/>
    <n v="0"/>
    <n v="0"/>
    <m/>
    <x v="1"/>
    <m/>
    <n v="0"/>
    <n v="0"/>
  </r>
  <r>
    <s v="Adquisición de Bienes "/>
    <s v="Dotación"/>
    <n v="0"/>
    <n v="0"/>
    <s v="CAJA MENOR"/>
    <s v="NO APLICA"/>
    <s v="Técnico de Contabilidad"/>
    <s v="Subdirección Administrativa financiera"/>
    <x v="0"/>
    <x v="10"/>
    <m/>
    <n v="11"/>
    <s v="NA"/>
    <s v="Gastos_x000a_ Directos"/>
    <n v="2750000"/>
    <n v="0"/>
    <n v="2750000"/>
    <n v="0"/>
    <n v="383800"/>
    <n v="0"/>
    <n v="383800"/>
    <m/>
    <x v="5"/>
    <m/>
    <n v="0"/>
    <n v="0"/>
  </r>
  <r>
    <s v="Adquisición de Bienes "/>
    <s v="Dotación"/>
    <n v="175"/>
    <n v="0"/>
    <s v="Arrendar el inmueble distinguido como oficina 402 A ubicado en la Avenida Calle 26 No. 69 D-91 Torre Peatonal “Centro Empresarial Arrecife (Etapa II) piso 4to. Propiedad Horizontal”, de la ciudad de Bogotá,  incluyendo los parqueaderos Nros. 265 y 266 del sótano No. 3, con el fin de que allí funcione  la sede  del IDEP."/>
    <n v="80131502"/>
    <s v="Profesional Universitario 219-02 Servicios Generales"/>
    <s v="Subdirección Administrativa financiera"/>
    <x v="0"/>
    <x v="10"/>
    <m/>
    <n v="11"/>
    <s v="CONTRATACIÓN DIRECTA"/>
    <s v="Directa"/>
    <n v="58195071"/>
    <n v="0"/>
    <n v="58195071"/>
    <n v="1"/>
    <n v="58195071"/>
    <n v="0"/>
    <n v="58195071"/>
    <d v="2017-03-03T00:00:00"/>
    <x v="2"/>
    <m/>
    <n v="22"/>
    <s v="Inmobiliaria 1 Casa Grande Ltda"/>
  </r>
  <r>
    <s v="Adquisición de Bienes "/>
    <s v="Dotación"/>
    <n v="176"/>
    <n v="0"/>
    <s v="Arrendar el inmueble distinguido como oficina 402 B ubicado en la Avenida Calle 26 No. 69 D-91 Torre Peatonal “Centro Empresarial Arrecife (Etapa II) piso 4to. Propiedad Horizontal”, de la ciudad de Bogotá,  incluyendo los parqueaderos Nros. 267 y 268 del sótano No. 3, con el fin de que allí funcione  la sede  del IDEP."/>
    <n v="80131502"/>
    <s v="Profesional Universitario 219-02 Servicios Generales"/>
    <s v="Subdirección Administrativa financiera"/>
    <x v="0"/>
    <x v="10"/>
    <m/>
    <n v="11"/>
    <s v="CONTRATACIÓN DIRECTA"/>
    <s v="Directa"/>
    <n v="83061088"/>
    <n v="0"/>
    <n v="83061088"/>
    <n v="1"/>
    <n v="83061088"/>
    <n v="0"/>
    <n v="83061088"/>
    <d v="2017-03-03T00:00:00"/>
    <x v="2"/>
    <m/>
    <n v="25"/>
    <s v="Inmobiliaria 1 Casa Grande Ltda"/>
  </r>
  <r>
    <s v="Adquisición de Bienes "/>
    <s v="Dotación"/>
    <n v="177"/>
    <n v="0"/>
    <s v="Arrendar el inmueble distinguido como oficina 805 ubicado en la Avenida Calle 26 No. 69 D-91 Torre Peatonal “Centro Empresarial Arrecife (Etapa II) piso 8vo. Propiedad Horizontal”, de la ciudad de Bogotá,  incluyendo los parqueaderos Nros. 76, 77 y 115 del sótano No. 2, con el fin de que allí funcione  la sede  del IDEP."/>
    <n v="80131502"/>
    <s v="Profesional Universitario 219-02 Servicios Generales"/>
    <s v="Subdirección Administrativa financiera"/>
    <x v="0"/>
    <x v="10"/>
    <m/>
    <n v="11"/>
    <s v="CONTRATACIÓN DIRECTA"/>
    <s v="Directa"/>
    <n v="125014362"/>
    <n v="0"/>
    <n v="125014362"/>
    <n v="1"/>
    <n v="125014362"/>
    <n v="0"/>
    <n v="125014362"/>
    <d v="2017-03-03T00:00:00"/>
    <x v="2"/>
    <m/>
    <n v="23"/>
    <s v="Inmobiliaria 1 Casa Grande Ltda"/>
  </r>
  <r>
    <s v="Adquisición de Bienes "/>
    <s v="Dotación"/>
    <n v="178"/>
    <n v="0"/>
    <s v="Arrendar el inmueble distinguido como oficina 806 ubicado en la Avenida Calle 26 No. 69 D-91 Torre Peatonal “Centro Empresarial Arrecife (Etapa II) piso 8vo Propiedad Horizontal”, de la ciudad de Bogotá,  incluyendo los parqueaderos Nros. 151 y 152 del sótano No. 2, con el fin de que allí funcione  la sede  del IDEP."/>
    <n v="80131502"/>
    <s v="Profesional Universitario 219-02 Servicios Generales"/>
    <s v="Subdirección Administrativa financiera"/>
    <x v="0"/>
    <x v="10"/>
    <m/>
    <n v="11"/>
    <s v="CONTRATACIÓN DIRECTA"/>
    <s v="Directa"/>
    <n v="82400769"/>
    <n v="0"/>
    <n v="82400769"/>
    <n v="1"/>
    <n v="82400769"/>
    <n v="0"/>
    <n v="82400769"/>
    <d v="2017-03-03T00:00:00"/>
    <x v="2"/>
    <m/>
    <n v="24"/>
    <s v="Inmobiliaria 1 Casa Grande Ltda"/>
  </r>
  <r>
    <s v="Adquisición de Bienes "/>
    <s v="Dotación"/>
    <n v="24"/>
    <n v="0"/>
    <s v="Administración oficinas"/>
    <s v="NO APLICA"/>
    <s v="Profesional Universitario 219-02 Servicios Generales"/>
    <s v="Subdirección Administrativa financiera"/>
    <x v="0"/>
    <x v="5"/>
    <m/>
    <n v="12"/>
    <s v="NA"/>
    <s v="Gastos_x000a_ Directos"/>
    <n v="44105710"/>
    <n v="0"/>
    <n v="44105710"/>
    <n v="1"/>
    <n v="16349709"/>
    <n v="0"/>
    <n v="16349709"/>
    <m/>
    <x v="3"/>
    <m/>
    <n v="0"/>
    <n v="0"/>
  </r>
  <r>
    <s v="Adquisición de Bienes "/>
    <s v="Dotación"/>
    <n v="25"/>
    <n v="0"/>
    <s v="Prestación del servicio de un canal de Internet dedicado con un ancho de banda de 20 Mbps."/>
    <n v="81112101"/>
    <s v="Jefe Oficina  Asesora de planeación"/>
    <s v="Oficina Asesora de Planeación"/>
    <x v="2"/>
    <x v="10"/>
    <m/>
    <n v="10"/>
    <s v="CONTRATACIÓN DIRECTA"/>
    <s v="Directa"/>
    <n v="23192040"/>
    <n v="0"/>
    <n v="23192040"/>
    <n v="1"/>
    <n v="23192040"/>
    <n v="0"/>
    <n v="23192040"/>
    <d v="2017-02-16T00:00:00"/>
    <x v="5"/>
    <m/>
    <n v="5"/>
    <s v="ETB"/>
  </r>
  <r>
    <s v="Adquisición de Bienes "/>
    <s v="Dotación"/>
    <n v="272"/>
    <n v="0"/>
    <s v="Adición No. 1 del 2017 al contrato No. 5 de 2017, Prestación del servicio de un canal de Internet dedicado con un ancho de banda de 20 Mbps "/>
    <n v="81112101"/>
    <s v="Jefe Oficina  Asesora de planeación"/>
    <s v="Oficina Asesora de Planeación"/>
    <x v="2"/>
    <x v="11"/>
    <m/>
    <n v="1"/>
    <s v="CONTRATACIÓN DIRECTA"/>
    <n v="0"/>
    <n v="2319204"/>
    <n v="0"/>
    <n v="2319204"/>
    <n v="0"/>
    <n v="0"/>
    <n v="0"/>
    <n v="0"/>
    <m/>
    <x v="1"/>
    <m/>
    <n v="0"/>
    <n v="0"/>
  </r>
  <r>
    <s v="Adquisición de Bienes "/>
    <s v="Dotación"/>
    <n v="0"/>
    <n v="0"/>
    <s v="SALDO"/>
    <n v="0"/>
    <n v="0"/>
    <n v="0"/>
    <x v="1"/>
    <x v="1"/>
    <s v="Saldo"/>
    <n v="0"/>
    <n v="0"/>
    <s v="Directa"/>
    <n v="6502256"/>
    <n v="0"/>
    <n v="6502256"/>
    <n v="0"/>
    <n v="0"/>
    <n v="0"/>
    <n v="0"/>
    <m/>
    <x v="1"/>
    <m/>
    <n v="0"/>
    <n v="0"/>
  </r>
  <r>
    <s v="Adquisición de Bienes "/>
    <s v="Dotación"/>
    <n v="188"/>
    <n v="0"/>
    <s v="Compra de Radios de Comunicación para la Brigada de Emergencias del IDEP"/>
    <n v="81112101"/>
    <s v="Profesional especializado Presupuesto"/>
    <s v="Subdirección Adminsitrativa Financiera"/>
    <x v="0"/>
    <x v="4"/>
    <m/>
    <n v="3"/>
    <s v="TIENDA VIRTUAL - COLOMBIA COMPRA EFICIENTE"/>
    <s v="Minima Cuantia"/>
    <n v="3272500"/>
    <n v="0"/>
    <n v="3272500"/>
    <n v="1"/>
    <n v="3272500"/>
    <n v="0"/>
    <n v="3272500"/>
    <d v="2017-04-28T00:00:00"/>
    <x v="4"/>
    <m/>
    <s v="orden de aceptación"/>
    <s v="ENLASE INHALAMBRICO GIGITAL"/>
  </r>
  <r>
    <s v="Adquisición de Bienes "/>
    <s v="Dotación"/>
    <n v="188"/>
    <n v="0"/>
    <s v="SALDO"/>
    <n v="0"/>
    <n v="0"/>
    <n v="0"/>
    <x v="1"/>
    <x v="1"/>
    <s v="Saldo"/>
    <n v="0"/>
    <n v="0"/>
    <n v="0"/>
    <n v="714000"/>
    <n v="0"/>
    <n v="714000"/>
    <n v="0"/>
    <n v="0"/>
    <n v="0"/>
    <n v="0"/>
    <m/>
    <x v="1"/>
    <m/>
    <n v="0"/>
    <n v="0"/>
  </r>
  <r>
    <s v="Adquisición de Bienes "/>
    <s v="Dotación"/>
    <n v="284"/>
    <n v="0"/>
    <s v="Prestación del servicio de mensajería especializada para el Instituto para la Investigación Educativa y Desarrollo Pedagógico IDEP"/>
    <n v="81161601"/>
    <s v="Profesionalo Especializado 222-03"/>
    <s v="Subdirección Administrativa financiera"/>
    <x v="0"/>
    <x v="2"/>
    <m/>
    <n v="12"/>
    <s v="Mínima Cuantía"/>
    <s v="Selección_x000a_ Abreviada"/>
    <n v="14850000"/>
    <n v="0"/>
    <n v="14850000"/>
    <n v="0"/>
    <n v="0"/>
    <n v="0"/>
    <n v="0"/>
    <m/>
    <x v="1"/>
    <m/>
    <n v="0"/>
    <n v="0"/>
  </r>
  <r>
    <s v="Adquisición de Bienes "/>
    <s v="Dotación"/>
    <n v="27"/>
    <n v="0"/>
    <s v="CELULARES ( 3)"/>
    <s v="NO APLICA"/>
    <s v="Profesional Universitario 219-02 Servicios Generales"/>
    <s v="Subdirección Administrativa financiera"/>
    <x v="0"/>
    <x v="5"/>
    <m/>
    <n v="12"/>
    <s v="NA"/>
    <s v="Gastos_x000a_ Directos"/>
    <n v="4800000"/>
    <n v="0"/>
    <n v="4800000"/>
    <n v="0"/>
    <n v="669876"/>
    <n v="0"/>
    <n v="669876"/>
    <m/>
    <x v="3"/>
    <m/>
    <n v="0"/>
    <n v="0"/>
  </r>
  <r>
    <s v="Adquisición de Bienes "/>
    <s v="Dotación"/>
    <n v="19"/>
    <n v="0"/>
    <s v="CAJA MENOR "/>
    <s v="NO APLICA"/>
    <s v="Técnico de Contabilidad"/>
    <s v="Subdirección Administrativa financiera"/>
    <x v="0"/>
    <x v="10"/>
    <m/>
    <n v="11"/>
    <s v="NA"/>
    <s v="Gastos_x000a_ Directos"/>
    <n v="4400000"/>
    <n v="0"/>
    <n v="4400000"/>
    <n v="0"/>
    <n v="1819480"/>
    <n v="0"/>
    <n v="1819480"/>
    <m/>
    <x v="5"/>
    <m/>
    <n v="0"/>
    <n v="0"/>
  </r>
  <r>
    <s v="Adquisición de Bienes "/>
    <s v="Dotación"/>
    <n v="28"/>
    <n v="0"/>
    <s v="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
    <n v="80161801"/>
    <s v="Profesional Universitario 219-02 Servicios Generales"/>
    <s v="Subdirección Administrativa financiera"/>
    <x v="0"/>
    <x v="2"/>
    <m/>
    <n v="12"/>
    <s v="MINIMA CUANTÍA"/>
    <s v="Minima Cuantia"/>
    <n v="7020000"/>
    <n v="0"/>
    <n v="7020000"/>
    <n v="0"/>
    <n v="7020000"/>
    <n v="0"/>
    <n v="7020000"/>
    <d v="2017-05-31T00:00:00"/>
    <x v="0"/>
    <m/>
    <n v="0"/>
    <s v="SOLUTION COPY LTDA."/>
  </r>
  <r>
    <m/>
    <m/>
    <n v="0"/>
    <n v="0"/>
    <s v="SALDO"/>
    <n v="0"/>
    <n v="0"/>
    <n v="0"/>
    <x v="0"/>
    <x v="1"/>
    <m/>
    <n v="0"/>
    <n v="0"/>
    <s v="Directa"/>
    <n v="3230000"/>
    <n v="0"/>
    <n v="3230000"/>
    <n v="0"/>
    <n v="0"/>
    <n v="0"/>
    <n v="0"/>
    <m/>
    <x v="1"/>
    <m/>
    <n v="0"/>
    <n v="0"/>
  </r>
  <r>
    <s v="Adquisición de Bienes "/>
    <s v="Dotación"/>
    <n v="256"/>
    <n v="0"/>
    <s v="Adición No. 1  del 2017 a la  Carta de Aceptación de la Oferta No. 30 de 2016 - 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
    <n v="80161801"/>
    <s v="Profesional Universitario 219-02 Servicios Generales"/>
    <s v="Subdirección Administrativa financiera"/>
    <x v="0"/>
    <x v="4"/>
    <m/>
    <n v="2"/>
    <n v="0"/>
    <n v="0"/>
    <n v="200000"/>
    <n v="0"/>
    <n v="200000"/>
    <n v="0"/>
    <n v="200000"/>
    <n v="0"/>
    <n v="200000"/>
    <d v="2017-05-04T00:00:00"/>
    <x v="0"/>
    <m/>
    <n v="0"/>
    <s v="SOLUTION COPY LTDA"/>
  </r>
  <r>
    <s v="Adquisición de Bienes "/>
    <s v="Dotación"/>
    <n v="19"/>
    <n v="0"/>
    <s v="CAJA MENOR "/>
    <s v="NO APLICA"/>
    <s v="Técnico de Contabilidad"/>
    <s v="Subdirección Administrativa financiera"/>
    <x v="0"/>
    <x v="10"/>
    <m/>
    <n v="11"/>
    <s v="NA"/>
    <s v="Gastos_x000a_ Directos"/>
    <n v="2750000"/>
    <n v="0"/>
    <n v="2750000"/>
    <n v="0"/>
    <n v="150850"/>
    <n v="0"/>
    <n v="150850"/>
    <m/>
    <x v="5"/>
    <m/>
    <n v="0"/>
    <n v="0"/>
  </r>
  <r>
    <s v="Adquisición de Bienes "/>
    <s v="Dotación"/>
    <n v="29"/>
    <n v="0"/>
    <s v="ISBN 2017"/>
    <s v="NO APLICA"/>
    <s v="Profesional 222-05"/>
    <s v="Diana María Prada"/>
    <x v="3"/>
    <x v="4"/>
    <m/>
    <n v="10"/>
    <s v="NA"/>
    <s v="Gastos_x000a_ Directos"/>
    <n v="1050000"/>
    <n v="0"/>
    <n v="1050000"/>
    <n v="0"/>
    <n v="0"/>
    <n v="0"/>
    <n v="0"/>
    <m/>
    <x v="1"/>
    <m/>
    <n v="0"/>
    <n v="0"/>
  </r>
  <r>
    <s v="Adquisición de Bienes "/>
    <s v="Dotación"/>
    <n v="30"/>
    <n v="0"/>
    <s v="Prestación de los servicios de aseo y cafetería, con suministro de insumos, en las instalaciones del Instituto para la Investigación Educativa y el Desarrollo Pedagógico - IDEP."/>
    <s v="76111501_x000a_ 95121503"/>
    <s v="Profesional Universitario 219-02 Servicios Generales"/>
    <s v="Subdirección Administrativa financiera"/>
    <x v="0"/>
    <x v="0"/>
    <m/>
    <n v="12"/>
    <s v="TIENDA VIRTUAL - COLOMBIA COMPRA EFICIENTE"/>
    <s v="Selección_x000a_ Abreviada"/>
    <n v="38148843"/>
    <n v="0"/>
    <n v="38148843"/>
    <n v="0"/>
    <n v="38148843"/>
    <n v="0"/>
    <n v="38148843"/>
    <d v="2017-05-04T00:00:00"/>
    <x v="0"/>
    <m/>
    <n v="71"/>
    <s v="UNION TEMPORAL BIOLIMPIEZA"/>
  </r>
  <r>
    <s v="Adquisición de Bienes "/>
    <s v="Dotación"/>
    <n v="0"/>
    <n v="0"/>
    <s v="SALDO"/>
    <n v="0"/>
    <n v="0"/>
    <n v="0"/>
    <x v="1"/>
    <x v="1"/>
    <s v="Saldo"/>
    <n v="0"/>
    <n v="0"/>
    <n v="0"/>
    <n v="5651157"/>
    <n v="0"/>
    <n v="5651157"/>
    <n v="0"/>
    <n v="0"/>
    <n v="0"/>
    <n v="0"/>
    <m/>
    <x v="1"/>
    <m/>
    <n v="0"/>
    <n v="0"/>
  </r>
  <r>
    <s v="Adquisición de Bienes "/>
    <s v="Dotación"/>
    <n v="31"/>
    <n v="0"/>
    <s v="Prestación de servicios de mantenimiento preventivo y correctivo del parque automotor del IDEP con suministro de respuestos  "/>
    <n v="78181500"/>
    <s v="Profesional Universitario 219-02 Servicios Generales"/>
    <s v="Subdirección Administrativa financiera"/>
    <x v="0"/>
    <x v="2"/>
    <m/>
    <n v="12"/>
    <s v="MINIMA CUANTÍA"/>
    <s v="Minima Cuantia"/>
    <n v="3839425"/>
    <n v="0"/>
    <n v="3839425"/>
    <n v="0"/>
    <n v="0"/>
    <n v="0"/>
    <n v="0"/>
    <m/>
    <x v="1"/>
    <m/>
    <n v="0"/>
    <n v="0"/>
  </r>
  <r>
    <s v="Adquisición de Bienes "/>
    <s v="Dotación"/>
    <n v="194"/>
    <n v="0"/>
    <s v="Adición No. 1 del 2017 al contrato No. 31 de 2016 Prestación de los servicios de aseo y cafetería, con suministro de insumos, en las instalaciones del Instituto para la Investigación Educativa y el Desarrollo Pedagógico - IDEP."/>
    <s v="76111501_x000a_ 95121503"/>
    <s v="Profesional Universitario 219-02 Servicios Generales"/>
    <s v="Subdirección Administrativa financiera"/>
    <x v="0"/>
    <x v="4"/>
    <m/>
    <n v="12"/>
    <n v="0"/>
    <s v="Selección_x000a_ Abreviada"/>
    <n v="1135920"/>
    <n v="0"/>
    <n v="1135920"/>
    <n v="0"/>
    <n v="1135920"/>
    <n v="0"/>
    <n v="1135920"/>
    <d v="2017-04-18T00:00:00"/>
    <x v="4"/>
    <m/>
    <n v="31"/>
    <s v="SERVIPROLUX"/>
  </r>
  <r>
    <s v="Adquisición de Bienes "/>
    <s v="Dotación"/>
    <n v="255"/>
    <n v="0"/>
    <s v="Adición No. 2  del 2017 al contrato No. 31 de 2016 - Prestación de los servicios de aseo y cafetería, con suministro de insumos, en las instalaciones del Instituto para la Investigación Educativa y el Desarrollo Pedagógico - IDEP."/>
    <s v="76111501_x000a_ 95121503"/>
    <s v="Profesional Universitario 219-02 Servicios Generales"/>
    <s v="Subdirección Administrativa financiera"/>
    <x v="0"/>
    <x v="4"/>
    <m/>
    <s v="15 días"/>
    <n v="0"/>
    <n v="0"/>
    <n v="2044655"/>
    <n v="0"/>
    <n v="2044655"/>
    <n v="0"/>
    <n v="2044655"/>
    <n v="0"/>
    <n v="2044655"/>
    <d v="2017-05-04T00:00:00"/>
    <x v="0"/>
    <m/>
    <n v="31"/>
    <s v="SERVIPROLUX"/>
  </r>
  <r>
    <s v="Adquisición de Bienes "/>
    <s v="Dotación"/>
    <n v="19"/>
    <n v="0"/>
    <s v="CAJA MENOR "/>
    <s v="NO APLICA"/>
    <s v="Técnico de Contabilidad"/>
    <s v="Subdirección Administrativa financiera"/>
    <x v="0"/>
    <x v="10"/>
    <m/>
    <n v="11"/>
    <s v="NA"/>
    <s v="Gastos_x000a_ Directos"/>
    <n v="2750000"/>
    <n v="0"/>
    <n v="2750000"/>
    <n v="0"/>
    <n v="447640"/>
    <n v="0"/>
    <n v="447640"/>
    <m/>
    <x v="5"/>
    <m/>
    <n v="0"/>
    <n v="0"/>
  </r>
  <r>
    <m/>
    <m/>
    <n v="32"/>
    <n v="0"/>
    <s v="Contratar la prestación de servicios de intermediación de seguros, asesoría integral en el manejo de programa de seguros que el instituto requiera"/>
    <n v="84131501"/>
    <s v="Profesional Universitario 219-02 Servicios Generales"/>
    <s v="Subdirección Administrativa financiera"/>
    <x v="0"/>
    <x v="9"/>
    <s v="Saldo"/>
    <n v="12"/>
    <s v="CONCURSO DE MERITO"/>
    <n v="12"/>
    <n v="0"/>
    <n v="0"/>
    <n v="0"/>
    <n v="0"/>
    <n v="0"/>
    <n v="0"/>
    <n v="0"/>
    <m/>
    <x v="1"/>
    <m/>
    <n v="0"/>
    <n v="0"/>
  </r>
  <r>
    <m/>
    <m/>
    <n v="33"/>
    <n v="0"/>
    <s v="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n v="84131501"/>
    <s v="Profesional Universitario 219-02 Servicios Generales"/>
    <s v="Subdirección Administrativa financiera"/>
    <x v="0"/>
    <x v="9"/>
    <m/>
    <n v="12"/>
    <s v="SELECCIÓN ABREVIADA - MENOR CUANTÍA"/>
    <s v="Selección _x000a__x000a_Abreviada"/>
    <n v="60000000"/>
    <n v="0"/>
    <n v="60000000"/>
    <n v="0"/>
    <n v="0"/>
    <n v="0"/>
    <n v="0"/>
    <m/>
    <x v="1"/>
    <m/>
    <n v="0"/>
    <n v="0"/>
  </r>
  <r>
    <m/>
    <m/>
    <n v="5"/>
    <n v="0"/>
    <s v="ENERGIA"/>
    <s v=" NO APLICA"/>
    <s v="Profesional Universitario 219-02 Servicios Generales"/>
    <s v="Subdirección Administrativa financiera"/>
    <x v="0"/>
    <x v="5"/>
    <m/>
    <n v="12"/>
    <s v="NA"/>
    <s v="Gastos _x000a_Directos"/>
    <n v="25000000"/>
    <n v="0"/>
    <n v="25000000"/>
    <n v="0"/>
    <n v="8647900"/>
    <n v="0"/>
    <n v="8647900"/>
    <m/>
    <x v="3"/>
    <m/>
    <n v="0"/>
    <n v="0"/>
  </r>
  <r>
    <m/>
    <m/>
    <n v="5"/>
    <n v="0"/>
    <s v="ACUEDUCTO"/>
    <s v=" NO APLICA"/>
    <s v="Profesional Universitario 219-02 Servicios Generales"/>
    <s v="Subdirección Administrativa financiera"/>
    <x v="0"/>
    <x v="5"/>
    <m/>
    <n v="12"/>
    <n v="0"/>
    <s v="Gastos _x000a_Directos"/>
    <n v="2575000"/>
    <n v="0"/>
    <n v="2575000"/>
    <n v="0"/>
    <n v="182980"/>
    <n v="0"/>
    <n v="182980"/>
    <m/>
    <x v="3"/>
    <m/>
    <n v="0"/>
    <n v="0"/>
  </r>
  <r>
    <m/>
    <m/>
    <n v="5"/>
    <n v="0"/>
    <s v="ASEO"/>
    <s v=" NO APLICA"/>
    <s v="Profesional Universitario 219-02 Servicios Generales"/>
    <s v="Subdirección Administrativa financiera"/>
    <x v="0"/>
    <x v="5"/>
    <m/>
    <n v="12"/>
    <n v="0"/>
    <s v="Gastos _x000a_Directos"/>
    <n v="4120000"/>
    <n v="0"/>
    <n v="4120000"/>
    <n v="0"/>
    <n v="231036"/>
    <n v="0"/>
    <n v="231036"/>
    <m/>
    <x v="3"/>
    <m/>
    <n v="0"/>
    <n v="0"/>
  </r>
  <r>
    <m/>
    <m/>
    <n v="5"/>
    <n v="0"/>
    <s v="TELEFONOS"/>
    <s v=" NO APLICA"/>
    <s v="Profesional Universitario 219-02 Servicios Generales"/>
    <s v="Subdirección Administrativa financiera"/>
    <x v="0"/>
    <x v="5"/>
    <m/>
    <n v="12"/>
    <n v="0"/>
    <s v="Gastos _x000a_Directos"/>
    <n v="23925000"/>
    <n v="0"/>
    <n v="23925000"/>
    <n v="0"/>
    <n v="5353040"/>
    <n v="0"/>
    <n v="5353040"/>
    <m/>
    <x v="3"/>
    <m/>
    <n v="0"/>
    <n v="0"/>
  </r>
  <r>
    <m/>
    <m/>
    <n v="282"/>
    <n v="0"/>
    <s v="Prestación de servicios profesionales  para  realizar  la capacitación a los servidores y servidoras del  IDEP"/>
    <n v="86101705"/>
    <s v="Profesional Especializado 222-03"/>
    <s v="Subdirección Administrativa financiera"/>
    <x v="0"/>
    <x v="12"/>
    <m/>
    <n v="4"/>
    <s v="CONTRATACIÓN DIRECTA"/>
    <s v="Directa"/>
    <n v="12950000"/>
    <n v="0"/>
    <n v="12950000"/>
    <n v="0"/>
    <n v="0"/>
    <n v="0"/>
    <n v="0"/>
    <m/>
    <x v="1"/>
    <m/>
    <n v="0"/>
    <n v="0"/>
  </r>
  <r>
    <m/>
    <m/>
    <n v="35"/>
    <n v="0"/>
    <s v="Adquisición de bonos de bienestar para los funcionarios del IDEP para ser utilizados en víveres y/o alimentos"/>
    <n v="93141506"/>
    <s v="Profesional Especializado 222-03 _x000a_Área de Talento Humano"/>
    <s v="Subdirección Administrativa financiera"/>
    <x v="0"/>
    <x v="7"/>
    <m/>
    <n v="1"/>
    <s v="MINIMA CUANTÍA"/>
    <s v="Minima Cuantia"/>
    <n v="14800000"/>
    <n v="0"/>
    <n v="14800000"/>
    <n v="0"/>
    <n v="0"/>
    <n v="0"/>
    <n v="0"/>
    <m/>
    <x v="1"/>
    <m/>
    <n v="0"/>
    <n v="0"/>
  </r>
  <r>
    <m/>
    <m/>
    <n v="36"/>
    <n v="0"/>
    <s v="Adquisición de bonos de navidad para los hijos de los funcionarios del IDEP en edades comprendidas entre los cero (0) a trece (13) años para ser utilizados en juguetería y/o ropa infantil"/>
    <n v="93141506"/>
    <s v="Profesional Especializado 222-03 _x000a_Área de Talento Humano"/>
    <s v="Subdirección Administrativa financiera"/>
    <x v="0"/>
    <x v="7"/>
    <m/>
    <n v="1"/>
    <s v="MINIMA CUANTÍA"/>
    <s v="Minima Cuantia"/>
    <n v="5000000"/>
    <n v="0"/>
    <n v="5000000"/>
    <n v="0"/>
    <n v="0"/>
    <n v="0"/>
    <n v="0"/>
    <m/>
    <x v="1"/>
    <m/>
    <n v="0"/>
    <n v="0"/>
  </r>
  <r>
    <m/>
    <m/>
    <n v="37"/>
    <n v="0"/>
    <s v="Incentivos no pecuniarios"/>
    <s v="NO APLICA"/>
    <s v="Profesional Especializado 222-03 _x000a_Área de Talento Humano"/>
    <s v="Subdirección Administrativa financiera"/>
    <x v="0"/>
    <x v="12"/>
    <m/>
    <n v="1"/>
    <s v="NA"/>
    <s v="Gastos_x000a_ Directos"/>
    <n v="4500000"/>
    <n v="0"/>
    <n v="4500000"/>
    <n v="0"/>
    <n v="0"/>
    <n v="0"/>
    <n v="0"/>
    <m/>
    <x v="1"/>
    <m/>
    <n v="0"/>
    <n v="0"/>
  </r>
  <r>
    <m/>
    <m/>
    <n v="271"/>
    <n v="0"/>
    <s v="Servicio de apoyo logístico para la realización de actividades recreativas para los hijos de los funcionarios las cuales tienen como fin contribuir al fortalecimiento de los procesos motivacionales, actitudinales y comportamentales de los servidores públicos."/>
    <n v="93141506"/>
    <s v="Profesional Especializado 222-03 _x000a_Área de Talento Humano"/>
    <s v="Subdirección Administrativa financiera"/>
    <x v="0"/>
    <x v="12"/>
    <m/>
    <n v="1"/>
    <s v="DIRECTA"/>
    <s v="Minima Cuantia"/>
    <n v="7500000"/>
    <n v="0"/>
    <n v="7500000"/>
    <n v="0"/>
    <n v="0"/>
    <n v="0"/>
    <n v="0"/>
    <m/>
    <x v="1"/>
    <m/>
    <n v="0"/>
    <n v="0"/>
  </r>
  <r>
    <m/>
    <m/>
    <n v="283"/>
    <n v="0"/>
    <s v="Prestación de servicios para realizar los exámenes médico ocupacionales para los servidores del IDEP."/>
    <n v="93141808"/>
    <s v="Profesional Especializado 222-03 _x000a_Área de Talento Humano"/>
    <s v="Subdirección Administrativa financiera"/>
    <x v="0"/>
    <x v="12"/>
    <m/>
    <n v="2"/>
    <s v="Mínima Cuantía"/>
    <s v="Minima Cuantia"/>
    <n v="4107000"/>
    <n v="0"/>
    <n v="4107000"/>
    <n v="0"/>
    <n v="0"/>
    <n v="0"/>
    <n v="0"/>
    <m/>
    <x v="1"/>
    <m/>
    <n v="0"/>
    <n v="0"/>
  </r>
  <r>
    <m/>
    <m/>
    <n v="4"/>
    <n v="0"/>
    <s v="Cancelación de impuestos, tasas, contribuciones, derechos y multas"/>
    <s v="NO APLICA"/>
    <s v="Profesional Especializado 222-04"/>
    <s v="Subdirección Administrativa financiera"/>
    <x v="0"/>
    <x v="12"/>
    <m/>
    <n v="12"/>
    <s v="NA"/>
    <s v="Gastos_x000a_ Directos"/>
    <n v="426000"/>
    <n v="0"/>
    <n v="426000"/>
    <n v="0"/>
    <n v="98000"/>
    <n v="0"/>
    <n v="98000"/>
    <m/>
    <x v="0"/>
    <m/>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3" cacheId="1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Área">
  <location ref="A32:B34" firstHeaderRow="1" firstDataRow="2" firstDataCol="1" rowPageCount="2" colPageCount="1"/>
  <pivotFields count="30">
    <pivotField showAll="0"/>
    <pivotField showAll="0"/>
    <pivotField showAll="0"/>
    <pivotField showAll="0"/>
    <pivotField showAll="0"/>
    <pivotField showAll="0"/>
    <pivotField showAll="0"/>
    <pivotField showAll="0"/>
    <pivotField showAll="0"/>
    <pivotField showAll="0"/>
    <pivotField axis="axisRow" showAll="0">
      <items count="17">
        <item x="7"/>
        <item x="12"/>
        <item x="10"/>
        <item x="5"/>
        <item x="8"/>
        <item x="4"/>
        <item x="13"/>
        <item x="11"/>
        <item x="15"/>
        <item x="6"/>
        <item x="3"/>
        <item x="0"/>
        <item x="2"/>
        <item x="9"/>
        <item x="1"/>
        <item x="14"/>
        <item t="default"/>
      </items>
    </pivotField>
    <pivotField showAll="0"/>
    <pivotField axis="axisRow" showAll="0" defaultSubtotal="0">
      <items count="5">
        <item x="1"/>
        <item x="2"/>
        <item x="0"/>
        <item x="3"/>
        <item m="1" x="4"/>
      </items>
    </pivotField>
    <pivotField axis="axisCol" showAll="0">
      <items count="11">
        <item x="6"/>
        <item x="3"/>
        <item x="0"/>
        <item x="5"/>
        <item x="1"/>
        <item x="4"/>
        <item x="2"/>
        <item x="7"/>
        <item x="9"/>
        <item x="8"/>
        <item t="default"/>
      </items>
    </pivotField>
    <pivotField axis="axisPage" multipleItemSelectionAllowed="1" showAll="0" defaultSubtotal="0">
      <items count="2">
        <item h="1" x="1"/>
        <item x="0"/>
      </items>
    </pivotField>
    <pivotField showAll="0"/>
    <pivotField showAll="0"/>
    <pivotField showAll="0"/>
    <pivotField showAll="0"/>
    <pivotField showAll="0"/>
    <pivotField dataField="1" showAll="0"/>
    <pivotField showAll="0"/>
    <pivotField showAll="0"/>
    <pivotField numFmtId="171" showAll="0"/>
    <pivotField showAll="0"/>
    <pivotField showAll="0"/>
    <pivotField multipleItemSelectionAllowed="1" showAll="0" defaultSubtotal="0"/>
    <pivotField axis="axisPage" multipleItemSelectionAllowed="1" showAll="0" defaultSubtotal="0">
      <items count="2">
        <item h="1" x="0"/>
        <item x="1"/>
      </items>
    </pivotField>
    <pivotField showAll="0"/>
    <pivotField showAll="0"/>
  </pivotFields>
  <rowFields count="2">
    <field x="12"/>
    <field x="10"/>
  </rowFields>
  <rowItems count="1">
    <i t="grand">
      <x/>
    </i>
  </rowItems>
  <colFields count="1">
    <field x="13"/>
  </colFields>
  <colItems count="1">
    <i t="grand">
      <x/>
    </i>
  </colItems>
  <pageFields count="2">
    <pageField fld="14" hier="-1"/>
    <pageField fld="27" hier="-1"/>
  </pageFields>
  <dataFields count="1">
    <dataField name="Cuenta de TOTAL2" fld="20" subtotal="count" baseField="12" baseItem="2"/>
  </dataFields>
  <formats count="5">
    <format dxfId="61">
      <pivotArea field="-2" type="button" dataOnly="0" labelOnly="1" outline="0" axis="axisValues" fieldPosition="0"/>
    </format>
    <format dxfId="60">
      <pivotArea outline="0" collapsedLevelsAreSubtotals="1" fieldPosition="0"/>
    </format>
    <format dxfId="59">
      <pivotArea field="12" type="button" dataOnly="0" labelOnly="1" outline="0" axis="axisRow" fieldPosition="0"/>
    </format>
    <format dxfId="58">
      <pivotArea dataOnly="0" labelOnly="1" fieldPosition="0">
        <references count="1">
          <reference field="12" count="0"/>
        </references>
      </pivotArea>
    </format>
    <format dxfId="5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1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Área">
  <location ref="A18:M25" firstHeaderRow="1" firstDataRow="3" firstDataCol="1"/>
  <pivotFields count="3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5">
        <item x="1"/>
        <item x="2"/>
        <item x="0"/>
        <item x="3"/>
        <item m="1" x="4"/>
      </items>
    </pivotField>
    <pivotField showAll="0"/>
    <pivotField showAll="0" defaultSubtotal="0"/>
    <pivotField showAll="0"/>
    <pivotField showAll="0"/>
    <pivotField showAll="0"/>
    <pivotField showAll="0"/>
    <pivotField showAll="0"/>
    <pivotField dataField="1" showAll="0"/>
    <pivotField showAll="0"/>
    <pivotField showAll="0"/>
    <pivotField numFmtId="171" showAll="0"/>
    <pivotField showAll="0"/>
    <pivotField showAll="0"/>
    <pivotField axis="axisCol" multipleItemSelectionAllowed="1" showAll="0" defaultSubtotal="0">
      <items count="7">
        <item x="4"/>
        <item x="0"/>
        <item x="2"/>
        <item x="1"/>
        <item x="5"/>
        <item h="1" x="3"/>
        <item h="1" m="1" x="6"/>
      </items>
    </pivotField>
    <pivotField showAll="0" defaultSubtotal="0"/>
    <pivotField showAll="0"/>
    <pivotField showAll="0"/>
  </pivotFields>
  <rowFields count="1">
    <field x="12"/>
  </rowFields>
  <rowItems count="5">
    <i>
      <x/>
    </i>
    <i>
      <x v="1"/>
    </i>
    <i>
      <x v="2"/>
    </i>
    <i>
      <x v="3"/>
    </i>
    <i t="grand">
      <x/>
    </i>
  </rowItems>
  <colFields count="2">
    <field x="26"/>
    <field x="-2"/>
  </colFields>
  <colItems count="12">
    <i>
      <x/>
      <x/>
    </i>
    <i r="1" i="1">
      <x v="1"/>
    </i>
    <i>
      <x v="1"/>
      <x/>
    </i>
    <i r="1" i="1">
      <x v="1"/>
    </i>
    <i>
      <x v="2"/>
      <x/>
    </i>
    <i r="1" i="1">
      <x v="1"/>
    </i>
    <i>
      <x v="3"/>
      <x/>
    </i>
    <i r="1" i="1">
      <x v="1"/>
    </i>
    <i>
      <x v="4"/>
      <x/>
    </i>
    <i r="1" i="1">
      <x v="1"/>
    </i>
    <i t="grand">
      <x/>
    </i>
    <i t="grand" i="1">
      <x/>
    </i>
  </colItems>
  <dataFields count="2">
    <dataField name="Cantidad" fld="20" subtotal="count" baseField="12" baseItem="0"/>
    <dataField name="Valor" fld="20" baseField="0" baseItem="0"/>
  </dataFields>
  <formats count="18">
    <format dxfId="79">
      <pivotArea field="-2" type="button" dataOnly="0" labelOnly="1" outline="0" axis="axisCol" fieldPosition="1"/>
    </format>
    <format dxfId="78">
      <pivotArea outline="0" collapsedLevelsAreSubtotals="1" fieldPosition="0"/>
    </format>
    <format dxfId="77">
      <pivotArea field="12" type="button" dataOnly="0" labelOnly="1" outline="0" axis="axisRow" fieldPosition="0"/>
    </format>
    <format dxfId="76">
      <pivotArea dataOnly="0" labelOnly="1" fieldPosition="0">
        <references count="1">
          <reference field="12" count="0"/>
        </references>
      </pivotArea>
    </format>
    <format dxfId="75">
      <pivotArea dataOnly="0" labelOnly="1" grandRow="1" outline="0" fieldPosition="0"/>
    </format>
    <format dxfId="74">
      <pivotArea dataOnly="0" outline="0" fieldPosition="0">
        <references count="1">
          <reference field="4294967294" count="1">
            <x v="0"/>
          </reference>
        </references>
      </pivotArea>
    </format>
    <format dxfId="73">
      <pivotArea dataOnly="0" outline="0" fieldPosition="0">
        <references count="1">
          <reference field="4294967294" count="1">
            <x v="1"/>
          </reference>
        </references>
      </pivotArea>
    </format>
    <format dxfId="72">
      <pivotArea dataOnly="0" labelOnly="1" fieldPosition="0">
        <references count="1">
          <reference field="26" count="1">
            <x v="0"/>
          </reference>
        </references>
      </pivotArea>
    </format>
    <format dxfId="71">
      <pivotArea dataOnly="0" labelOnly="1" fieldPosition="0">
        <references count="1">
          <reference field="26" count="1">
            <x v="1"/>
          </reference>
        </references>
      </pivotArea>
    </format>
    <format dxfId="70">
      <pivotArea dataOnly="0" labelOnly="1" fieldPosition="0">
        <references count="1">
          <reference field="26" count="1">
            <x v="2"/>
          </reference>
        </references>
      </pivotArea>
    </format>
    <format dxfId="69">
      <pivotArea dataOnly="0" labelOnly="1" fieldPosition="0">
        <references count="1">
          <reference field="26" count="1">
            <x v="3"/>
          </reference>
        </references>
      </pivotArea>
    </format>
    <format dxfId="68">
      <pivotArea dataOnly="0" labelOnly="1" fieldPosition="0">
        <references count="1">
          <reference field="26" count="1">
            <x v="4"/>
          </reference>
        </references>
      </pivotArea>
    </format>
    <format dxfId="67">
      <pivotArea field="26" dataOnly="0" grandCol="1" outline="0" axis="axisCol" fieldPosition="0">
        <references count="1">
          <reference field="4294967294" count="1" selected="0">
            <x v="0"/>
          </reference>
        </references>
      </pivotArea>
    </format>
    <format dxfId="66">
      <pivotArea field="26" grandCol="1" outline="0" collapsedLevelsAreSubtotals="1" axis="axisCol" fieldPosition="0">
        <references count="1">
          <reference field="4294967294" count="1" selected="0">
            <x v="1"/>
          </reference>
        </references>
      </pivotArea>
    </format>
    <format dxfId="65">
      <pivotArea field="26" dataOnly="0" labelOnly="1" grandCol="1" outline="0" axis="axisCol" fieldPosition="0">
        <references count="1">
          <reference field="4294967294" count="1" selected="0">
            <x v="0"/>
          </reference>
        </references>
      </pivotArea>
    </format>
    <format dxfId="64">
      <pivotArea field="26" dataOnly="0" labelOnly="1" grandCol="1" outline="0" axis="axisCol" fieldPosition="0">
        <references count="1">
          <reference field="4294967294" count="1" selected="0">
            <x v="1"/>
          </reference>
        </references>
      </pivotArea>
    </format>
    <format dxfId="63">
      <pivotArea grandRow="1" grandCol="1" outline="0" collapsedLevelsAreSubtotals="1" fieldPosition="0">
        <references count="1">
          <reference field="4294967294" count="1" selected="0">
            <x v="1"/>
          </reference>
        </references>
      </pivotArea>
    </format>
    <format dxfId="62">
      <pivotArea grandRow="1" grandCol="1"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1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rowHeaderCaption="Área">
  <location ref="A5:W12" firstHeaderRow="1" firstDataRow="3" firstDataCol="1"/>
  <pivotFields count="3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5">
        <item x="1"/>
        <item x="2"/>
        <item x="0"/>
        <item x="3"/>
        <item m="1" x="4"/>
      </items>
    </pivotField>
    <pivotField axis="axisCol" showAll="0">
      <items count="11">
        <item n="Saldos contratos" x="6"/>
        <item x="3"/>
        <item x="0"/>
        <item x="5"/>
        <item x="1"/>
        <item x="4"/>
        <item x="2"/>
        <item x="7"/>
        <item x="9"/>
        <item x="8"/>
        <item t="default"/>
      </items>
    </pivotField>
    <pivotField showAll="0" defaultSubtotal="0"/>
    <pivotField showAll="0"/>
    <pivotField showAll="0"/>
    <pivotField showAll="0"/>
    <pivotField showAll="0"/>
    <pivotField showAll="0"/>
    <pivotField dataField="1" showAll="0"/>
    <pivotField showAll="0"/>
    <pivotField showAll="0"/>
    <pivotField numFmtId="171" showAll="0"/>
    <pivotField showAll="0"/>
    <pivotField showAll="0"/>
    <pivotField showAll="0" defaultSubtotal="0"/>
    <pivotField showAll="0" defaultSubtotal="0"/>
    <pivotField showAll="0"/>
    <pivotField showAll="0"/>
  </pivotFields>
  <rowFields count="1">
    <field x="12"/>
  </rowFields>
  <rowItems count="5">
    <i>
      <x/>
    </i>
    <i>
      <x v="1"/>
    </i>
    <i>
      <x v="2"/>
    </i>
    <i>
      <x v="3"/>
    </i>
    <i t="grand">
      <x/>
    </i>
  </rowItems>
  <colFields count="2">
    <field x="13"/>
    <field x="-2"/>
  </colFields>
  <colItems count="22">
    <i>
      <x/>
      <x/>
    </i>
    <i r="1" i="1">
      <x v="1"/>
    </i>
    <i>
      <x v="1"/>
      <x/>
    </i>
    <i r="1" i="1">
      <x v="1"/>
    </i>
    <i>
      <x v="2"/>
      <x/>
    </i>
    <i r="1" i="1">
      <x v="1"/>
    </i>
    <i>
      <x v="3"/>
      <x/>
    </i>
    <i r="1" i="1">
      <x v="1"/>
    </i>
    <i>
      <x v="4"/>
      <x/>
    </i>
    <i r="1" i="1">
      <x v="1"/>
    </i>
    <i>
      <x v="5"/>
      <x/>
    </i>
    <i r="1" i="1">
      <x v="1"/>
    </i>
    <i>
      <x v="6"/>
      <x/>
    </i>
    <i r="1" i="1">
      <x v="1"/>
    </i>
    <i>
      <x v="7"/>
      <x/>
    </i>
    <i r="1" i="1">
      <x v="1"/>
    </i>
    <i>
      <x v="8"/>
      <x/>
    </i>
    <i r="1" i="1">
      <x v="1"/>
    </i>
    <i>
      <x v="9"/>
      <x/>
    </i>
    <i r="1" i="1">
      <x v="1"/>
    </i>
    <i t="grand">
      <x/>
    </i>
    <i t="grand" i="1">
      <x/>
    </i>
  </colItems>
  <dataFields count="2">
    <dataField name="Cantidad" fld="20" subtotal="count" baseField="12" baseItem="0"/>
    <dataField name="Valor" fld="20" baseField="0" baseItem="0"/>
  </dataFields>
  <formats count="50">
    <format dxfId="129">
      <pivotArea field="13" grandRow="1" outline="0" collapsedLevelsAreSubtotals="1" axis="axisCol" fieldPosition="0">
        <references count="2">
          <reference field="4294967294" count="1" selected="0">
            <x v="1"/>
          </reference>
          <reference field="13" count="1" selected="0">
            <x v="0"/>
          </reference>
        </references>
      </pivotArea>
    </format>
    <format dxfId="128">
      <pivotArea field="13" grandRow="1" outline="0" collapsedLevelsAreSubtotals="1" axis="axisCol" fieldPosition="0">
        <references count="2">
          <reference field="4294967294" count="1" selected="0">
            <x v="1"/>
          </reference>
          <reference field="13" count="1" selected="0">
            <x v="0"/>
          </reference>
        </references>
      </pivotArea>
    </format>
    <format dxfId="127">
      <pivotArea outline="0" collapsedLevelsAreSubtotals="1" fieldPosition="0">
        <references count="2">
          <reference field="4294967294" count="1" selected="0">
            <x v="1"/>
          </reference>
          <reference field="13" count="1" selected="0">
            <x v="0"/>
          </reference>
        </references>
      </pivotArea>
    </format>
    <format dxfId="126">
      <pivotArea field="-2" type="button" dataOnly="0" labelOnly="1" outline="0" axis="axisCol" fieldPosition="1"/>
    </format>
    <format dxfId="125">
      <pivotArea dataOnly="0" labelOnly="1" fieldPosition="0">
        <references count="1">
          <reference field="13" count="1">
            <x v="0"/>
          </reference>
        </references>
      </pivotArea>
    </format>
    <format dxfId="124">
      <pivotArea dataOnly="0" labelOnly="1" outline="0" fieldPosition="0">
        <references count="2">
          <reference field="4294967294" count="1">
            <x v="1"/>
          </reference>
          <reference field="13" count="1" selected="0">
            <x v="0"/>
          </reference>
        </references>
      </pivotArea>
    </format>
    <format dxfId="123">
      <pivotArea outline="0" collapsedLevelsAreSubtotals="1" fieldPosition="0">
        <references count="2">
          <reference field="4294967294" count="1" selected="0">
            <x v="1"/>
          </reference>
          <reference field="13" count="1" selected="0">
            <x v="1"/>
          </reference>
        </references>
      </pivotArea>
    </format>
    <format dxfId="122">
      <pivotArea outline="0" collapsedLevelsAreSubtotals="1" fieldPosition="0"/>
    </format>
    <format dxfId="121">
      <pivotArea field="12" type="button" dataOnly="0" labelOnly="1" outline="0" axis="axisRow" fieldPosition="0"/>
    </format>
    <format dxfId="120">
      <pivotArea dataOnly="0" labelOnly="1" fieldPosition="0">
        <references count="1">
          <reference field="12" count="0"/>
        </references>
      </pivotArea>
    </format>
    <format dxfId="119">
      <pivotArea dataOnly="0" labelOnly="1" grandRow="1" outline="0" fieldPosition="0"/>
    </format>
    <format dxfId="118">
      <pivotArea dataOnly="0" labelOnly="1" fieldPosition="0">
        <references count="1">
          <reference field="13" count="0"/>
        </references>
      </pivotArea>
    </format>
    <format dxfId="117">
      <pivotArea field="13" dataOnly="0" labelOnly="1" grandCol="1" outline="0" axis="axisCol" fieldPosition="0">
        <references count="1">
          <reference field="4294967294" count="1" selected="0">
            <x v="0"/>
          </reference>
        </references>
      </pivotArea>
    </format>
    <format dxfId="116">
      <pivotArea field="13" dataOnly="0" labelOnly="1" grandCol="1" outline="0" axis="axisCol" fieldPosition="0">
        <references count="1">
          <reference field="4294967294" count="1" selected="0">
            <x v="1"/>
          </reference>
        </references>
      </pivotArea>
    </format>
    <format dxfId="115">
      <pivotArea dataOnly="0" labelOnly="1" outline="0" fieldPosition="0">
        <references count="2">
          <reference field="4294967294" count="2">
            <x v="0"/>
            <x v="1"/>
          </reference>
          <reference field="13" count="1" selected="0">
            <x v="0"/>
          </reference>
        </references>
      </pivotArea>
    </format>
    <format dxfId="114">
      <pivotArea dataOnly="0" labelOnly="1" outline="0" fieldPosition="0">
        <references count="2">
          <reference field="4294967294" count="2">
            <x v="0"/>
            <x v="1"/>
          </reference>
          <reference field="13" count="1" selected="0">
            <x v="1"/>
          </reference>
        </references>
      </pivotArea>
    </format>
    <format dxfId="113">
      <pivotArea dataOnly="0" labelOnly="1" outline="0" fieldPosition="0">
        <references count="2">
          <reference field="4294967294" count="2">
            <x v="0"/>
            <x v="1"/>
          </reference>
          <reference field="13" count="1" selected="0">
            <x v="2"/>
          </reference>
        </references>
      </pivotArea>
    </format>
    <format dxfId="112">
      <pivotArea dataOnly="0" labelOnly="1" outline="0" fieldPosition="0">
        <references count="2">
          <reference field="4294967294" count="2">
            <x v="0"/>
            <x v="1"/>
          </reference>
          <reference field="13" count="1" selected="0">
            <x v="3"/>
          </reference>
        </references>
      </pivotArea>
    </format>
    <format dxfId="111">
      <pivotArea dataOnly="0" labelOnly="1" outline="0" fieldPosition="0">
        <references count="2">
          <reference field="4294967294" count="2">
            <x v="0"/>
            <x v="1"/>
          </reference>
          <reference field="13" count="1" selected="0">
            <x v="4"/>
          </reference>
        </references>
      </pivotArea>
    </format>
    <format dxfId="110">
      <pivotArea dataOnly="0" labelOnly="1" outline="0" fieldPosition="0">
        <references count="2">
          <reference field="4294967294" count="2">
            <x v="0"/>
            <x v="1"/>
          </reference>
          <reference field="13" count="1" selected="0">
            <x v="5"/>
          </reference>
        </references>
      </pivotArea>
    </format>
    <format dxfId="109">
      <pivotArea dataOnly="0" labelOnly="1" outline="0" fieldPosition="0">
        <references count="2">
          <reference field="4294967294" count="2">
            <x v="0"/>
            <x v="1"/>
          </reference>
          <reference field="13" count="1" selected="0">
            <x v="6"/>
          </reference>
        </references>
      </pivotArea>
    </format>
    <format dxfId="108">
      <pivotArea dataOnly="0" labelOnly="1" outline="0" fieldPosition="0">
        <references count="2">
          <reference field="4294967294" count="2">
            <x v="0"/>
            <x v="1"/>
          </reference>
          <reference field="13" count="1" selected="0">
            <x v="7"/>
          </reference>
        </references>
      </pivotArea>
    </format>
    <format dxfId="107">
      <pivotArea dataOnly="0" labelOnly="1" outline="0" fieldPosition="0">
        <references count="2">
          <reference field="4294967294" count="2">
            <x v="0"/>
            <x v="1"/>
          </reference>
          <reference field="13" count="1" selected="0">
            <x v="8"/>
          </reference>
        </references>
      </pivotArea>
    </format>
    <format dxfId="106">
      <pivotArea dataOnly="0" labelOnly="1" outline="0" fieldPosition="0">
        <references count="2">
          <reference field="4294967294" count="2">
            <x v="0"/>
            <x v="1"/>
          </reference>
          <reference field="13" count="1" selected="0">
            <x v="9"/>
          </reference>
        </references>
      </pivotArea>
    </format>
    <format dxfId="105">
      <pivotArea outline="0" collapsedLevelsAreSubtotals="1" fieldPosition="0">
        <references count="2">
          <reference field="4294967294" count="2" selected="0">
            <x v="0"/>
            <x v="1"/>
          </reference>
          <reference field="13" count="1" selected="0">
            <x v="0"/>
          </reference>
        </references>
      </pivotArea>
    </format>
    <format dxfId="104">
      <pivotArea dataOnly="0" labelOnly="1" fieldPosition="0">
        <references count="1">
          <reference field="13" count="1">
            <x v="0"/>
          </reference>
        </references>
      </pivotArea>
    </format>
    <format dxfId="103">
      <pivotArea dataOnly="0" labelOnly="1" outline="0" fieldPosition="0">
        <references count="2">
          <reference field="4294967294" count="2">
            <x v="0"/>
            <x v="1"/>
          </reference>
          <reference field="13" count="1" selected="0">
            <x v="0"/>
          </reference>
        </references>
      </pivotArea>
    </format>
    <format dxfId="102">
      <pivotArea dataOnly="0" outline="0" fieldPosition="0">
        <references count="1">
          <reference field="4294967294" count="1">
            <x v="1"/>
          </reference>
        </references>
      </pivotArea>
    </format>
    <format dxfId="101">
      <pivotArea field="13" dataOnly="0" labelOnly="1" grandCol="1" outline="0" offset="IV256" axis="axisCol" fieldPosition="0">
        <references count="1">
          <reference field="4294967294" count="1" selected="0">
            <x v="0"/>
          </reference>
        </references>
      </pivotArea>
    </format>
    <format dxfId="100">
      <pivotArea field="13" dataOnly="0" labelOnly="1" grandCol="1" outline="0" offset="IV256" axis="axisCol" fieldPosition="0">
        <references count="1">
          <reference field="4294967294" count="1" selected="0">
            <x v="1"/>
          </reference>
        </references>
      </pivotArea>
    </format>
    <format dxfId="99">
      <pivotArea dataOnly="0" labelOnly="1" outline="0" fieldPosition="0">
        <references count="2">
          <reference field="4294967294" count="2">
            <x v="0"/>
            <x v="1"/>
          </reference>
          <reference field="13" count="1" selected="0">
            <x v="1"/>
          </reference>
        </references>
      </pivotArea>
    </format>
    <format dxfId="98">
      <pivotArea dataOnly="0" labelOnly="1" outline="0" fieldPosition="0">
        <references count="2">
          <reference field="4294967294" count="2">
            <x v="0"/>
            <x v="1"/>
          </reference>
          <reference field="13" count="1" selected="0">
            <x v="2"/>
          </reference>
        </references>
      </pivotArea>
    </format>
    <format dxfId="97">
      <pivotArea dataOnly="0" labelOnly="1" outline="0" fieldPosition="0">
        <references count="2">
          <reference field="4294967294" count="2">
            <x v="0"/>
            <x v="1"/>
          </reference>
          <reference field="13" count="1" selected="0">
            <x v="3"/>
          </reference>
        </references>
      </pivotArea>
    </format>
    <format dxfId="96">
      <pivotArea dataOnly="0" labelOnly="1" outline="0" fieldPosition="0">
        <references count="2">
          <reference field="4294967294" count="2">
            <x v="0"/>
            <x v="1"/>
          </reference>
          <reference field="13" count="1" selected="0">
            <x v="4"/>
          </reference>
        </references>
      </pivotArea>
    </format>
    <format dxfId="95">
      <pivotArea dataOnly="0" labelOnly="1" outline="0" fieldPosition="0">
        <references count="2">
          <reference field="4294967294" count="2">
            <x v="0"/>
            <x v="1"/>
          </reference>
          <reference field="13" count="1" selected="0">
            <x v="5"/>
          </reference>
        </references>
      </pivotArea>
    </format>
    <format dxfId="94">
      <pivotArea dataOnly="0" labelOnly="1" outline="0" fieldPosition="0">
        <references count="2">
          <reference field="4294967294" count="2">
            <x v="0"/>
            <x v="1"/>
          </reference>
          <reference field="13" count="1" selected="0">
            <x v="6"/>
          </reference>
        </references>
      </pivotArea>
    </format>
    <format dxfId="93">
      <pivotArea dataOnly="0" labelOnly="1" outline="0" fieldPosition="0">
        <references count="2">
          <reference field="4294967294" count="2">
            <x v="0"/>
            <x v="1"/>
          </reference>
          <reference field="13" count="1" selected="0">
            <x v="7"/>
          </reference>
        </references>
      </pivotArea>
    </format>
    <format dxfId="92">
      <pivotArea dataOnly="0" labelOnly="1" outline="0" fieldPosition="0">
        <references count="2">
          <reference field="4294967294" count="2">
            <x v="0"/>
            <x v="1"/>
          </reference>
          <reference field="13" count="1" selected="0">
            <x v="8"/>
          </reference>
        </references>
      </pivotArea>
    </format>
    <format dxfId="91">
      <pivotArea dataOnly="0" labelOnly="1" outline="0" fieldPosition="0">
        <references count="2">
          <reference field="4294967294" count="2">
            <x v="0"/>
            <x v="1"/>
          </reference>
          <reference field="13" count="1" selected="0">
            <x v="9"/>
          </reference>
        </references>
      </pivotArea>
    </format>
    <format dxfId="90">
      <pivotArea dataOnly="0" labelOnly="1" outline="0" fieldPosition="0">
        <references count="2">
          <reference field="4294967294" count="1">
            <x v="0"/>
          </reference>
          <reference field="13" count="1" selected="0">
            <x v="0"/>
          </reference>
        </references>
      </pivotArea>
    </format>
    <format dxfId="89">
      <pivotArea dataOnly="0" labelOnly="1" offset="A256" fieldPosition="0">
        <references count="1">
          <reference field="13" count="1">
            <x v="2"/>
          </reference>
        </references>
      </pivotArea>
    </format>
    <format dxfId="88">
      <pivotArea dataOnly="0" labelOnly="1" offset="A256" fieldPosition="0">
        <references count="1">
          <reference field="13" count="1">
            <x v="3"/>
          </reference>
        </references>
      </pivotArea>
    </format>
    <format dxfId="87">
      <pivotArea dataOnly="0" labelOnly="1" offset="A256" fieldPosition="0">
        <references count="1">
          <reference field="13" count="1">
            <x v="4"/>
          </reference>
        </references>
      </pivotArea>
    </format>
    <format dxfId="86">
      <pivotArea dataOnly="0" labelOnly="1" offset="A256" fieldPosition="0">
        <references count="1">
          <reference field="13" count="1">
            <x v="5"/>
          </reference>
        </references>
      </pivotArea>
    </format>
    <format dxfId="85">
      <pivotArea dataOnly="0" labelOnly="1" offset="A256" fieldPosition="0">
        <references count="1">
          <reference field="13" count="1">
            <x v="6"/>
          </reference>
        </references>
      </pivotArea>
    </format>
    <format dxfId="84">
      <pivotArea dataOnly="0" labelOnly="1" offset="A256" fieldPosition="0">
        <references count="1">
          <reference field="13" count="1">
            <x v="7"/>
          </reference>
        </references>
      </pivotArea>
    </format>
    <format dxfId="83">
      <pivotArea dataOnly="0" labelOnly="1" offset="A256" fieldPosition="0">
        <references count="1">
          <reference field="13" count="1">
            <x v="8"/>
          </reference>
        </references>
      </pivotArea>
    </format>
    <format dxfId="82">
      <pivotArea dataOnly="0" labelOnly="1" offset="A256" fieldPosition="0">
        <references count="1">
          <reference field="13" count="1">
            <x v="9"/>
          </reference>
        </references>
      </pivotArea>
    </format>
    <format dxfId="81">
      <pivotArea field="13" dataOnly="0" labelOnly="1" grandCol="1" outline="0" offset="IV1" axis="axisCol" fieldPosition="0">
        <references count="1">
          <reference field="4294967294" count="1" selected="0">
            <x v="0"/>
          </reference>
        </references>
      </pivotArea>
    </format>
    <format dxfId="80">
      <pivotArea field="13" dataOnly="0" labelOnly="1" grandCol="1" outline="0" offset="IV1" axis="axisCol"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5" cacheId="1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21:M26" firstHeaderRow="1" firstDataRow="3" firstDataCol="1"/>
  <pivotFields count="26">
    <pivotField showAll="0"/>
    <pivotField showAll="0"/>
    <pivotField showAll="0"/>
    <pivotField showAll="0"/>
    <pivotField showAll="0"/>
    <pivotField showAll="0"/>
    <pivotField showAll="0"/>
    <pivotField showAll="0"/>
    <pivotField axis="axisRow" showAll="0" defaultSubtotal="0">
      <items count="4">
        <item x="2"/>
        <item x="3"/>
        <item x="0"/>
        <item x="1"/>
      </items>
    </pivotField>
    <pivotField showAll="0"/>
    <pivotField showAll="0"/>
    <pivotField showAll="0"/>
    <pivotField showAll="0"/>
    <pivotField showAll="0"/>
    <pivotField numFmtId="171" showAll="0"/>
    <pivotField showAll="0"/>
    <pivotField numFmtId="171" showAll="0"/>
    <pivotField showAll="0"/>
    <pivotField showAll="0"/>
    <pivotField showAll="0"/>
    <pivotField dataField="1" showAll="0"/>
    <pivotField showAll="0"/>
    <pivotField axis="axisCol" multipleItemSelectionAllowed="1" showAll="0">
      <items count="8">
        <item x="3"/>
        <item x="5"/>
        <item x="2"/>
        <item x="4"/>
        <item x="0"/>
        <item h="1" x="1"/>
        <item h="1" m="1" x="6"/>
        <item t="default"/>
      </items>
    </pivotField>
    <pivotField showAll="0"/>
    <pivotField showAll="0"/>
    <pivotField showAll="0"/>
  </pivotFields>
  <rowFields count="1">
    <field x="8"/>
  </rowFields>
  <rowItems count="3">
    <i>
      <x/>
    </i>
    <i>
      <x v="2"/>
    </i>
    <i t="grand">
      <x/>
    </i>
  </rowItems>
  <colFields count="2">
    <field x="22"/>
    <field x="-2"/>
  </colFields>
  <colItems count="12">
    <i>
      <x/>
      <x/>
    </i>
    <i r="1" i="1">
      <x v="1"/>
    </i>
    <i>
      <x v="1"/>
      <x/>
    </i>
    <i r="1" i="1">
      <x v="1"/>
    </i>
    <i>
      <x v="2"/>
      <x/>
    </i>
    <i r="1" i="1">
      <x v="1"/>
    </i>
    <i>
      <x v="3"/>
      <x/>
    </i>
    <i r="1" i="1">
      <x v="1"/>
    </i>
    <i>
      <x v="4"/>
      <x/>
    </i>
    <i r="1" i="1">
      <x v="1"/>
    </i>
    <i t="grand">
      <x/>
    </i>
    <i t="grand" i="1">
      <x/>
    </i>
  </colItems>
  <dataFields count="2">
    <dataField name="Cantidad" fld="20" subtotal="count" baseField="8" baseItem="0"/>
    <dataField name="Valor" fld="20" baseField="0" baseItem="0"/>
  </dataFields>
  <formats count="8">
    <format dxfId="7">
      <pivotArea outline="0" collapsedLevelsAreSubtotals="1" fieldPosition="0"/>
    </format>
    <format dxfId="6">
      <pivotArea field="8" type="button" dataOnly="0" labelOnly="1" outline="0" axis="axisRow" fieldPosition="0"/>
    </format>
    <format dxfId="5">
      <pivotArea dataOnly="0" labelOnly="1" fieldPosition="0">
        <references count="1">
          <reference field="8" count="0"/>
        </references>
      </pivotArea>
    </format>
    <format dxfId="4">
      <pivotArea dataOnly="0" labelOnly="1" grandRow="1" outline="0" fieldPosition="0"/>
    </format>
    <format dxfId="3">
      <pivotArea dataOnly="0" outline="0" fieldPosition="0">
        <references count="1">
          <reference field="4294967294" count="1">
            <x v="0"/>
          </reference>
        </references>
      </pivotArea>
    </format>
    <format dxfId="2">
      <pivotArea dataOnly="0" labelOnly="1" fieldPosition="0">
        <references count="1">
          <reference field="22" count="0"/>
        </references>
      </pivotArea>
    </format>
    <format dxfId="1">
      <pivotArea field="22" dataOnly="0" labelOnly="1" grandCol="1" outline="0" offset="IV1" axis="axisCol" fieldPosition="0">
        <references count="1">
          <reference field="4294967294" count="1" selected="0">
            <x v="0"/>
          </reference>
        </references>
      </pivotArea>
    </format>
    <format dxfId="0">
      <pivotArea field="22" dataOnly="0" labelOnly="1" grandCol="1" outline="0" offset="IV1" axis="axisCol"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4" cacheId="1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8:AC15" firstHeaderRow="1" firstDataRow="3" firstDataCol="1"/>
  <pivotFields count="26">
    <pivotField showAll="0"/>
    <pivotField showAll="0"/>
    <pivotField showAll="0"/>
    <pivotField showAll="0"/>
    <pivotField showAll="0"/>
    <pivotField showAll="0"/>
    <pivotField showAll="0"/>
    <pivotField showAll="0"/>
    <pivotField axis="axisRow" showAll="0" defaultSubtotal="0">
      <items count="4">
        <item x="2"/>
        <item x="3"/>
        <item x="0"/>
        <item x="1"/>
      </items>
    </pivotField>
    <pivotField axis="axisCol" showAll="0">
      <items count="14">
        <item n="Saldos" x="1"/>
        <item x="5"/>
        <item x="10"/>
        <item x="3"/>
        <item x="4"/>
        <item x="0"/>
        <item x="12"/>
        <item x="2"/>
        <item x="9"/>
        <item x="8"/>
        <item x="7"/>
        <item x="6"/>
        <item x="11"/>
        <item t="default"/>
      </items>
    </pivotField>
    <pivotField showAll="0"/>
    <pivotField showAll="0"/>
    <pivotField showAll="0"/>
    <pivotField showAll="0"/>
    <pivotField numFmtId="171" showAll="0"/>
    <pivotField showAll="0"/>
    <pivotField dataField="1" numFmtId="171"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3"/>
    </i>
    <i t="grand">
      <x/>
    </i>
  </rowItems>
  <colFields count="2">
    <field x="9"/>
    <field x="-2"/>
  </colFields>
  <colItems count="28">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x v="11"/>
      <x/>
    </i>
    <i r="1" i="1">
      <x v="1"/>
    </i>
    <i>
      <x v="12"/>
      <x/>
    </i>
    <i r="1" i="1">
      <x v="1"/>
    </i>
    <i t="grand">
      <x/>
    </i>
    <i t="grand" i="1">
      <x/>
    </i>
  </colItems>
  <dataFields count="2">
    <dataField name="Cantidad" fld="16" subtotal="count" baseField="8" baseItem="0"/>
    <dataField name="Valor" fld="16" baseField="0" baseItem="0"/>
  </dataFields>
  <formats count="49">
    <format dxfId="56">
      <pivotArea dataOnly="0" outline="0" fieldPosition="0">
        <references count="2">
          <reference field="4294967294" count="0" defaultSubtotal="1" sumSubtotal="1" countASubtotal="1" avgSubtotal="1" maxSubtotal="1" minSubtotal="1" productSubtotal="1" countSubtotal="1" stdDevSubtotal="1" stdDevPSubtotal="1" varSubtotal="1" varPSubtotal="1"/>
          <reference field="9" count="4">
            <x v="0"/>
            <x v="1"/>
            <x v="2"/>
            <x v="3"/>
          </reference>
        </references>
      </pivotArea>
    </format>
    <format dxfId="55">
      <pivotArea outline="0" collapsedLevelsAreSubtotals="1" fieldPosition="0"/>
    </format>
    <format dxfId="54">
      <pivotArea field="8" type="button" dataOnly="0" labelOnly="1" outline="0" axis="axisRow" fieldPosition="0"/>
    </format>
    <format dxfId="53">
      <pivotArea dataOnly="0" labelOnly="1" fieldPosition="0">
        <references count="1">
          <reference field="8" count="0"/>
        </references>
      </pivotArea>
    </format>
    <format dxfId="52">
      <pivotArea dataOnly="0" labelOnly="1" grandRow="1" outline="0" fieldPosition="0"/>
    </format>
    <format dxfId="51">
      <pivotArea dataOnly="0" labelOnly="1" fieldPosition="0">
        <references count="1">
          <reference field="9" count="0"/>
        </references>
      </pivotArea>
    </format>
    <format dxfId="50">
      <pivotArea field="9" dataOnly="0" labelOnly="1" grandCol="1" outline="0" axis="axisCol" fieldPosition="0">
        <references count="1">
          <reference field="4294967294" count="1" selected="0">
            <x v="0"/>
          </reference>
        </references>
      </pivotArea>
    </format>
    <format dxfId="49">
      <pivotArea field="9" dataOnly="0" labelOnly="1" grandCol="1" outline="0" axis="axisCol" fieldPosition="0">
        <references count="1">
          <reference field="4294967294" count="1" selected="0">
            <x v="1"/>
          </reference>
        </references>
      </pivotArea>
    </format>
    <format dxfId="48">
      <pivotArea dataOnly="0" labelOnly="1" outline="0" fieldPosition="0">
        <references count="2">
          <reference field="4294967294" count="2">
            <x v="0"/>
            <x v="1"/>
          </reference>
          <reference field="9" count="1" selected="0">
            <x v="0"/>
          </reference>
        </references>
      </pivotArea>
    </format>
    <format dxfId="47">
      <pivotArea dataOnly="0" labelOnly="1" outline="0" fieldPosition="0">
        <references count="2">
          <reference field="4294967294" count="2">
            <x v="0"/>
            <x v="1"/>
          </reference>
          <reference field="9" count="1" selected="0">
            <x v="1"/>
          </reference>
        </references>
      </pivotArea>
    </format>
    <format dxfId="46">
      <pivotArea dataOnly="0" labelOnly="1" outline="0" fieldPosition="0">
        <references count="2">
          <reference field="4294967294" count="2">
            <x v="0"/>
            <x v="1"/>
          </reference>
          <reference field="9" count="1" selected="0">
            <x v="2"/>
          </reference>
        </references>
      </pivotArea>
    </format>
    <format dxfId="45">
      <pivotArea dataOnly="0" labelOnly="1" outline="0" fieldPosition="0">
        <references count="2">
          <reference field="4294967294" count="2">
            <x v="0"/>
            <x v="1"/>
          </reference>
          <reference field="9" count="1" selected="0">
            <x v="3"/>
          </reference>
        </references>
      </pivotArea>
    </format>
    <format dxfId="44">
      <pivotArea dataOnly="0" labelOnly="1" outline="0" fieldPosition="0">
        <references count="2">
          <reference field="4294967294" count="2">
            <x v="0"/>
            <x v="1"/>
          </reference>
          <reference field="9" count="1" selected="0">
            <x v="4"/>
          </reference>
        </references>
      </pivotArea>
    </format>
    <format dxfId="43">
      <pivotArea dataOnly="0" labelOnly="1" outline="0" fieldPosition="0">
        <references count="2">
          <reference field="4294967294" count="2">
            <x v="0"/>
            <x v="1"/>
          </reference>
          <reference field="9" count="1" selected="0">
            <x v="5"/>
          </reference>
        </references>
      </pivotArea>
    </format>
    <format dxfId="42">
      <pivotArea dataOnly="0" labelOnly="1" outline="0" fieldPosition="0">
        <references count="2">
          <reference field="4294967294" count="2">
            <x v="0"/>
            <x v="1"/>
          </reference>
          <reference field="9" count="1" selected="0">
            <x v="6"/>
          </reference>
        </references>
      </pivotArea>
    </format>
    <format dxfId="41">
      <pivotArea dataOnly="0" labelOnly="1" outline="0" fieldPosition="0">
        <references count="2">
          <reference field="4294967294" count="2">
            <x v="0"/>
            <x v="1"/>
          </reference>
          <reference field="9" count="1" selected="0">
            <x v="7"/>
          </reference>
        </references>
      </pivotArea>
    </format>
    <format dxfId="40">
      <pivotArea dataOnly="0" labelOnly="1" outline="0" fieldPosition="0">
        <references count="2">
          <reference field="4294967294" count="2">
            <x v="0"/>
            <x v="1"/>
          </reference>
          <reference field="9" count="1" selected="0">
            <x v="8"/>
          </reference>
        </references>
      </pivotArea>
    </format>
    <format dxfId="39">
      <pivotArea dataOnly="0" labelOnly="1" outline="0" fieldPosition="0">
        <references count="2">
          <reference field="4294967294" count="2">
            <x v="0"/>
            <x v="1"/>
          </reference>
          <reference field="9" count="1" selected="0">
            <x v="9"/>
          </reference>
        </references>
      </pivotArea>
    </format>
    <format dxfId="38">
      <pivotArea dataOnly="0" labelOnly="1" outline="0" fieldPosition="0">
        <references count="2">
          <reference field="4294967294" count="2">
            <x v="0"/>
            <x v="1"/>
          </reference>
          <reference field="9" count="1" selected="0">
            <x v="10"/>
          </reference>
        </references>
      </pivotArea>
    </format>
    <format dxfId="37">
      <pivotArea dataOnly="0" labelOnly="1" outline="0" fieldPosition="0">
        <references count="2">
          <reference field="4294967294" count="2">
            <x v="0"/>
            <x v="1"/>
          </reference>
          <reference field="9" count="1" selected="0">
            <x v="11"/>
          </reference>
        </references>
      </pivotArea>
    </format>
    <format dxfId="36">
      <pivotArea dataOnly="0" labelOnly="1" outline="0" fieldPosition="0">
        <references count="2">
          <reference field="4294967294" count="2">
            <x v="0"/>
            <x v="1"/>
          </reference>
          <reference field="9" count="1" selected="0">
            <x v="12"/>
          </reference>
        </references>
      </pivotArea>
    </format>
    <format dxfId="35">
      <pivotArea field="9" dataOnly="0" labelOnly="1" grandCol="1" outline="0" offset="IV256" axis="axisCol" fieldPosition="0">
        <references count="1">
          <reference field="4294967294" count="1" selected="0">
            <x v="0"/>
          </reference>
        </references>
      </pivotArea>
    </format>
    <format dxfId="34">
      <pivotArea field="9" dataOnly="0" labelOnly="1" grandCol="1" outline="0" offset="IV256" axis="axisCol" fieldPosition="0">
        <references count="1">
          <reference field="4294967294" count="1" selected="0">
            <x v="1"/>
          </reference>
        </references>
      </pivotArea>
    </format>
    <format dxfId="33">
      <pivotArea dataOnly="0" labelOnly="1" outline="0" fieldPosition="0">
        <references count="2">
          <reference field="4294967294" count="2">
            <x v="0"/>
            <x v="1"/>
          </reference>
          <reference field="9" count="1" selected="0">
            <x v="0"/>
          </reference>
        </references>
      </pivotArea>
    </format>
    <format dxfId="32">
      <pivotArea dataOnly="0" labelOnly="1" outline="0" fieldPosition="0">
        <references count="2">
          <reference field="4294967294" count="2">
            <x v="0"/>
            <x v="1"/>
          </reference>
          <reference field="9" count="1" selected="0">
            <x v="1"/>
          </reference>
        </references>
      </pivotArea>
    </format>
    <format dxfId="31">
      <pivotArea dataOnly="0" labelOnly="1" outline="0" fieldPosition="0">
        <references count="2">
          <reference field="4294967294" count="2">
            <x v="0"/>
            <x v="1"/>
          </reference>
          <reference field="9" count="1" selected="0">
            <x v="2"/>
          </reference>
        </references>
      </pivotArea>
    </format>
    <format dxfId="30">
      <pivotArea dataOnly="0" labelOnly="1" outline="0" fieldPosition="0">
        <references count="2">
          <reference field="4294967294" count="2">
            <x v="0"/>
            <x v="1"/>
          </reference>
          <reference field="9" count="1" selected="0">
            <x v="3"/>
          </reference>
        </references>
      </pivotArea>
    </format>
    <format dxfId="29">
      <pivotArea dataOnly="0" labelOnly="1" outline="0" fieldPosition="0">
        <references count="2">
          <reference field="4294967294" count="2">
            <x v="0"/>
            <x v="1"/>
          </reference>
          <reference field="9" count="1" selected="0">
            <x v="4"/>
          </reference>
        </references>
      </pivotArea>
    </format>
    <format dxfId="28">
      <pivotArea dataOnly="0" labelOnly="1" outline="0" fieldPosition="0">
        <references count="2">
          <reference field="4294967294" count="2">
            <x v="0"/>
            <x v="1"/>
          </reference>
          <reference field="9" count="1" selected="0">
            <x v="5"/>
          </reference>
        </references>
      </pivotArea>
    </format>
    <format dxfId="27">
      <pivotArea dataOnly="0" labelOnly="1" outline="0" fieldPosition="0">
        <references count="2">
          <reference field="4294967294" count="2">
            <x v="0"/>
            <x v="1"/>
          </reference>
          <reference field="9" count="1" selected="0">
            <x v="6"/>
          </reference>
        </references>
      </pivotArea>
    </format>
    <format dxfId="26">
      <pivotArea dataOnly="0" labelOnly="1" outline="0" fieldPosition="0">
        <references count="2">
          <reference field="4294967294" count="2">
            <x v="0"/>
            <x v="1"/>
          </reference>
          <reference field="9" count="1" selected="0">
            <x v="7"/>
          </reference>
        </references>
      </pivotArea>
    </format>
    <format dxfId="25">
      <pivotArea dataOnly="0" labelOnly="1" outline="0" fieldPosition="0">
        <references count="2">
          <reference field="4294967294" count="2">
            <x v="0"/>
            <x v="1"/>
          </reference>
          <reference field="9" count="1" selected="0">
            <x v="8"/>
          </reference>
        </references>
      </pivotArea>
    </format>
    <format dxfId="24">
      <pivotArea dataOnly="0" labelOnly="1" outline="0" fieldPosition="0">
        <references count="2">
          <reference field="4294967294" count="2">
            <x v="0"/>
            <x v="1"/>
          </reference>
          <reference field="9" count="1" selected="0">
            <x v="9"/>
          </reference>
        </references>
      </pivotArea>
    </format>
    <format dxfId="23">
      <pivotArea dataOnly="0" labelOnly="1" outline="0" fieldPosition="0">
        <references count="2">
          <reference field="4294967294" count="2">
            <x v="0"/>
            <x v="1"/>
          </reference>
          <reference field="9" count="1" selected="0">
            <x v="10"/>
          </reference>
        </references>
      </pivotArea>
    </format>
    <format dxfId="22">
      <pivotArea dataOnly="0" labelOnly="1" outline="0" fieldPosition="0">
        <references count="2">
          <reference field="4294967294" count="2">
            <x v="0"/>
            <x v="1"/>
          </reference>
          <reference field="9" count="1" selected="0">
            <x v="11"/>
          </reference>
        </references>
      </pivotArea>
    </format>
    <format dxfId="21">
      <pivotArea dataOnly="0" labelOnly="1" outline="0" fieldPosition="0">
        <references count="2">
          <reference field="4294967294" count="2">
            <x v="0"/>
            <x v="1"/>
          </reference>
          <reference field="9" count="1" selected="0">
            <x v="12"/>
          </reference>
        </references>
      </pivotArea>
    </format>
    <format dxfId="20">
      <pivotArea dataOnly="0" outline="0" fieldPosition="0">
        <references count="1">
          <reference field="4294967294" count="1">
            <x v="0"/>
          </reference>
        </references>
      </pivotArea>
    </format>
    <format dxfId="19">
      <pivotArea dataOnly="0" labelOnly="1" offset="A256" fieldPosition="0">
        <references count="1">
          <reference field="9" count="1">
            <x v="1"/>
          </reference>
        </references>
      </pivotArea>
    </format>
    <format dxfId="18">
      <pivotArea dataOnly="0" labelOnly="1" offset="A256" fieldPosition="0">
        <references count="1">
          <reference field="9" count="1">
            <x v="2"/>
          </reference>
        </references>
      </pivotArea>
    </format>
    <format dxfId="17">
      <pivotArea dataOnly="0" labelOnly="1" offset="A256" fieldPosition="0">
        <references count="1">
          <reference field="9" count="1">
            <x v="3"/>
          </reference>
        </references>
      </pivotArea>
    </format>
    <format dxfId="16">
      <pivotArea dataOnly="0" labelOnly="1" offset="A256" fieldPosition="0">
        <references count="1">
          <reference field="9" count="1">
            <x v="5"/>
          </reference>
        </references>
      </pivotArea>
    </format>
    <format dxfId="15">
      <pivotArea dataOnly="0" labelOnly="1" offset="A256" fieldPosition="0">
        <references count="1">
          <reference field="9" count="1">
            <x v="6"/>
          </reference>
        </references>
      </pivotArea>
    </format>
    <format dxfId="14">
      <pivotArea dataOnly="0" labelOnly="1" offset="A256" fieldPosition="0">
        <references count="1">
          <reference field="9" count="1">
            <x v="7"/>
          </reference>
        </references>
      </pivotArea>
    </format>
    <format dxfId="13">
      <pivotArea dataOnly="0" labelOnly="1" offset="A256" fieldPosition="0">
        <references count="1">
          <reference field="9" count="1">
            <x v="8"/>
          </reference>
        </references>
      </pivotArea>
    </format>
    <format dxfId="12">
      <pivotArea dataOnly="0" labelOnly="1" offset="A256" fieldPosition="0">
        <references count="1">
          <reference field="9" count="1">
            <x v="9"/>
          </reference>
        </references>
      </pivotArea>
    </format>
    <format dxfId="11">
      <pivotArea dataOnly="0" labelOnly="1" offset="A256" fieldPosition="0">
        <references count="1">
          <reference field="9" count="1">
            <x v="10"/>
          </reference>
        </references>
      </pivotArea>
    </format>
    <format dxfId="10">
      <pivotArea dataOnly="0" labelOnly="1" offset="A256" fieldPosition="0">
        <references count="1">
          <reference field="9" count="1">
            <x v="11"/>
          </reference>
        </references>
      </pivotArea>
    </format>
    <format dxfId="9">
      <pivotArea dataOnly="0" labelOnly="1" offset="A256" fieldPosition="0">
        <references count="1">
          <reference field="9" count="1">
            <x v="12"/>
          </reference>
        </references>
      </pivotArea>
    </format>
    <format dxfId="8">
      <pivotArea field="9" dataOnly="0" grandCol="1" outline="0" axis="axisCol"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cuevas@idep.edu.co" TargetMode="External"/><Relationship Id="rId13" Type="http://schemas.openxmlformats.org/officeDocument/2006/relationships/hyperlink" Target="mailto:jpalacio@idep.edu.co" TargetMode="External"/><Relationship Id="rId18" Type="http://schemas.openxmlformats.org/officeDocument/2006/relationships/vmlDrawing" Target="../drawings/vmlDrawing1.vml"/><Relationship Id="rId3" Type="http://schemas.openxmlformats.org/officeDocument/2006/relationships/hyperlink" Target="mailto:eortiz@idep.edu.co" TargetMode="External"/><Relationship Id="rId7" Type="http://schemas.openxmlformats.org/officeDocument/2006/relationships/hyperlink" Target="mailto:dprada@idep.edu.co" TargetMode="External"/><Relationship Id="rId12" Type="http://schemas.openxmlformats.org/officeDocument/2006/relationships/hyperlink" Target="mailto:cplazas@idep.edu.co" TargetMode="External"/><Relationship Id="rId17" Type="http://schemas.openxmlformats.org/officeDocument/2006/relationships/drawing" Target="../drawings/drawing1.xml"/><Relationship Id="rId2" Type="http://schemas.openxmlformats.org/officeDocument/2006/relationships/hyperlink" Target="mailto:abustamante@idep.edu.co" TargetMode="External"/><Relationship Id="rId16" Type="http://schemas.openxmlformats.org/officeDocument/2006/relationships/printerSettings" Target="../printerSettings/printerSettings1.bin"/><Relationship Id="rId1" Type="http://schemas.openxmlformats.org/officeDocument/2006/relationships/hyperlink" Target="mailto:lacu&#241;a@idep.edu.co" TargetMode="External"/><Relationship Id="rId6" Type="http://schemas.openxmlformats.org/officeDocument/2006/relationships/hyperlink" Target="mailto:mramirez@idep.edu.co" TargetMode="External"/><Relationship Id="rId11" Type="http://schemas.openxmlformats.org/officeDocument/2006/relationships/hyperlink" Target="mailto:ogomez@idep.edu.co" TargetMode="External"/><Relationship Id="rId5" Type="http://schemas.openxmlformats.org/officeDocument/2006/relationships/hyperlink" Target="mailto:jpalacio@idep.edu.co" TargetMode="External"/><Relationship Id="rId15" Type="http://schemas.openxmlformats.org/officeDocument/2006/relationships/hyperlink" Target="mailto:eortiz@idep.edu.co" TargetMode="External"/><Relationship Id="rId10" Type="http://schemas.openxmlformats.org/officeDocument/2006/relationships/hyperlink" Target="mailto:cplazas@idep.edu.co" TargetMode="External"/><Relationship Id="rId19" Type="http://schemas.openxmlformats.org/officeDocument/2006/relationships/comments" Target="../comments1.xml"/><Relationship Id="rId4" Type="http://schemas.openxmlformats.org/officeDocument/2006/relationships/hyperlink" Target="mailto:lacu&#241;a@idep.edu.co" TargetMode="External"/><Relationship Id="rId9" Type="http://schemas.openxmlformats.org/officeDocument/2006/relationships/hyperlink" Target="mailto:mramirez@idep.edu.co" TargetMode="External"/><Relationship Id="rId14" Type="http://schemas.openxmlformats.org/officeDocument/2006/relationships/hyperlink" Target="mailto:eortiz@idep.edu.c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obonilla@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 Type="http://schemas.openxmlformats.org/officeDocument/2006/relationships/hyperlink" Target="mailto:nbeltran@idep.edu.co" TargetMode="External"/><Relationship Id="rId6" Type="http://schemas.openxmlformats.org/officeDocument/2006/relationships/hyperlink" Target="mailto:nbeltran@idep.edu.co" TargetMode="External"/><Relationship Id="rId11" Type="http://schemas.openxmlformats.org/officeDocument/2006/relationships/comments" Target="../comments2.xml"/><Relationship Id="rId5" Type="http://schemas.openxmlformats.org/officeDocument/2006/relationships/hyperlink" Target="mailto:cplazas@idep.edu.co" TargetMode="External"/><Relationship Id="rId10" Type="http://schemas.openxmlformats.org/officeDocument/2006/relationships/vmlDrawing" Target="../drawings/vmlDrawing2.vml"/><Relationship Id="rId4" Type="http://schemas.openxmlformats.org/officeDocument/2006/relationships/hyperlink" Target="mailto:cplazas@idep.edu.co"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contratos.gov.co/" TargetMode="External"/><Relationship Id="rId3" Type="http://schemas.openxmlformats.org/officeDocument/2006/relationships/hyperlink" Target="http://www.contratos.gov.co/" TargetMode="External"/><Relationship Id="rId7" Type="http://schemas.openxmlformats.org/officeDocument/2006/relationships/hyperlink" Target="http://www.contratos.gov.co/" TargetMode="External"/><Relationship Id="rId2" Type="http://schemas.openxmlformats.org/officeDocument/2006/relationships/hyperlink" Target="http://www.contratos.gov.co/" TargetMode="External"/><Relationship Id="rId1" Type="http://schemas.openxmlformats.org/officeDocument/2006/relationships/hyperlink" Target="http://www.contratos.gov.co/" TargetMode="External"/><Relationship Id="rId6" Type="http://schemas.openxmlformats.org/officeDocument/2006/relationships/hyperlink" Target="http://www.contratos.gov.co/" TargetMode="External"/><Relationship Id="rId5" Type="http://schemas.openxmlformats.org/officeDocument/2006/relationships/hyperlink" Target="http://www.contratos.gov.co/" TargetMode="External"/><Relationship Id="rId10" Type="http://schemas.openxmlformats.org/officeDocument/2006/relationships/hyperlink" Target="http://www.contratos.gov.co/" TargetMode="External"/><Relationship Id="rId4" Type="http://schemas.openxmlformats.org/officeDocument/2006/relationships/hyperlink" Target="http://www.contratos.gov.co/" TargetMode="External"/><Relationship Id="rId9" Type="http://schemas.openxmlformats.org/officeDocument/2006/relationships/hyperlink" Target="http://www.contratos.gov.co/"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81"/>
  <sheetViews>
    <sheetView showGridLines="0" tabSelected="1" view="pageBreakPreview" zoomScale="59" zoomScaleNormal="85" zoomScaleSheetLayoutView="59" workbookViewId="0">
      <selection activeCell="AE21" sqref="AE21"/>
    </sheetView>
  </sheetViews>
  <sheetFormatPr baseColWidth="10" defaultRowHeight="14.25" x14ac:dyDescent="0.2"/>
  <cols>
    <col min="1" max="1" width="14.85546875" style="523" customWidth="1"/>
    <col min="2" max="2" width="17.7109375" style="523" customWidth="1"/>
    <col min="3" max="3" width="15.140625" style="523" customWidth="1"/>
    <col min="4" max="4" width="12" style="523" customWidth="1"/>
    <col min="5" max="5" width="10.85546875" style="523" customWidth="1"/>
    <col min="6" max="6" width="20.140625" style="767" customWidth="1"/>
    <col min="7" max="7" width="8.140625" style="767" bestFit="1" customWidth="1"/>
    <col min="8" max="8" width="17.140625" style="767" bestFit="1" customWidth="1"/>
    <col min="9" max="9" width="78" style="758" customWidth="1"/>
    <col min="10" max="10" width="18.42578125" style="523" bestFit="1" customWidth="1"/>
    <col min="11" max="11" width="18" style="523" customWidth="1"/>
    <col min="12" max="12" width="0.140625" style="523" hidden="1" customWidth="1"/>
    <col min="13" max="13" width="19.140625" style="523" hidden="1" customWidth="1"/>
    <col min="14" max="14" width="8.85546875" style="523" customWidth="1"/>
    <col min="15" max="15" width="5.42578125" style="523" customWidth="1"/>
    <col min="16" max="16" width="11.85546875" style="523" customWidth="1"/>
    <col min="17" max="17" width="0.140625" style="523" customWidth="1"/>
    <col min="18" max="18" width="24.7109375" style="523" customWidth="1"/>
    <col min="19" max="19" width="25.85546875" style="523" customWidth="1"/>
    <col min="20" max="20" width="20.140625" style="523" customWidth="1"/>
    <col min="21" max="21" width="0.28515625" style="523" customWidth="1"/>
    <col min="22" max="22" width="21.5703125" style="523" hidden="1" customWidth="1"/>
    <col min="23" max="23" width="21.85546875" style="523" hidden="1" customWidth="1"/>
    <col min="24" max="24" width="21.5703125" style="523" hidden="1" customWidth="1"/>
    <col min="25" max="25" width="14.42578125" style="524" hidden="1" customWidth="1"/>
    <col min="26" max="26" width="10.5703125" style="523" hidden="1" customWidth="1"/>
    <col min="27" max="27" width="54.7109375" style="523" hidden="1" customWidth="1"/>
    <col min="28" max="28" width="26.7109375" style="523" hidden="1" customWidth="1"/>
    <col min="29" max="29" width="26.42578125" style="523" hidden="1" customWidth="1"/>
    <col min="30" max="30" width="25.7109375" style="523" hidden="1" customWidth="1"/>
    <col min="31" max="31" width="19.5703125" style="523" bestFit="1" customWidth="1"/>
    <col min="32" max="32" width="14.140625" style="523" bestFit="1" customWidth="1"/>
    <col min="33" max="229" width="11.42578125" style="523"/>
    <col min="230" max="230" width="1.42578125" style="523" customWidth="1"/>
    <col min="231" max="231" width="7.5703125" style="523" customWidth="1"/>
    <col min="232" max="232" width="4.85546875" style="523" customWidth="1"/>
    <col min="233" max="233" width="8" style="523" customWidth="1"/>
    <col min="234" max="234" width="8.140625" style="523" customWidth="1"/>
    <col min="235" max="235" width="7.28515625" style="523" customWidth="1"/>
    <col min="236" max="236" width="20.7109375" style="523" customWidth="1"/>
    <col min="237" max="237" width="15" style="523" customWidth="1"/>
    <col min="238" max="238" width="0.140625" style="523" customWidth="1"/>
    <col min="239" max="239" width="0" style="523" hidden="1" customWidth="1"/>
    <col min="240" max="240" width="78.85546875" style="523" customWidth="1"/>
    <col min="241" max="241" width="14.140625" style="523" customWidth="1"/>
    <col min="242" max="242" width="0.28515625" style="523" customWidth="1"/>
    <col min="243" max="243" width="11.7109375" style="523" customWidth="1"/>
    <col min="244" max="244" width="8.7109375" style="523" customWidth="1"/>
    <col min="245" max="245" width="0" style="523" hidden="1" customWidth="1"/>
    <col min="246" max="246" width="11.42578125" style="523" customWidth="1"/>
    <col min="247" max="249" width="0" style="523" hidden="1" customWidth="1"/>
    <col min="250" max="250" width="19" style="523" customWidth="1"/>
    <col min="251" max="251" width="17.28515625" style="523" customWidth="1"/>
    <col min="252" max="252" width="19.7109375" style="523" customWidth="1"/>
    <col min="253" max="253" width="20.7109375" style="523" customWidth="1"/>
    <col min="254" max="254" width="13.140625" style="523" bestFit="1" customWidth="1"/>
    <col min="255" max="255" width="21.5703125" style="523" customWidth="1"/>
    <col min="256" max="256" width="16" style="523" bestFit="1" customWidth="1"/>
    <col min="257" max="257" width="13.140625" style="523" bestFit="1" customWidth="1"/>
    <col min="258" max="258" width="38.28515625" style="523" bestFit="1" customWidth="1"/>
    <col min="259" max="259" width="1.28515625" style="523" customWidth="1"/>
    <col min="260" max="260" width="0" style="523" hidden="1" customWidth="1"/>
    <col min="261" max="485" width="11.42578125" style="523"/>
    <col min="486" max="486" width="1.42578125" style="523" customWidth="1"/>
    <col min="487" max="487" width="7.5703125" style="523" customWidth="1"/>
    <col min="488" max="488" width="4.85546875" style="523" customWidth="1"/>
    <col min="489" max="489" width="8" style="523" customWidth="1"/>
    <col min="490" max="490" width="8.140625" style="523" customWidth="1"/>
    <col min="491" max="491" width="7.28515625" style="523" customWidth="1"/>
    <col min="492" max="492" width="20.7109375" style="523" customWidth="1"/>
    <col min="493" max="493" width="15" style="523" customWidth="1"/>
    <col min="494" max="494" width="0.140625" style="523" customWidth="1"/>
    <col min="495" max="495" width="0" style="523" hidden="1" customWidth="1"/>
    <col min="496" max="496" width="78.85546875" style="523" customWidth="1"/>
    <col min="497" max="497" width="14.140625" style="523" customWidth="1"/>
    <col min="498" max="498" width="0.28515625" style="523" customWidth="1"/>
    <col min="499" max="499" width="11.7109375" style="523" customWidth="1"/>
    <col min="500" max="500" width="8.7109375" style="523" customWidth="1"/>
    <col min="501" max="501" width="0" style="523" hidden="1" customWidth="1"/>
    <col min="502" max="502" width="11.42578125" style="523" customWidth="1"/>
    <col min="503" max="505" width="0" style="523" hidden="1" customWidth="1"/>
    <col min="506" max="506" width="19" style="523" customWidth="1"/>
    <col min="507" max="507" width="17.28515625" style="523" customWidth="1"/>
    <col min="508" max="508" width="19.7109375" style="523" customWidth="1"/>
    <col min="509" max="509" width="20.7109375" style="523" customWidth="1"/>
    <col min="510" max="510" width="13.140625" style="523" bestFit="1" customWidth="1"/>
    <col min="511" max="511" width="21.5703125" style="523" customWidth="1"/>
    <col min="512" max="512" width="16" style="523" bestFit="1" customWidth="1"/>
    <col min="513" max="513" width="13.140625" style="523" bestFit="1" customWidth="1"/>
    <col min="514" max="514" width="38.28515625" style="523" bestFit="1" customWidth="1"/>
    <col min="515" max="515" width="1.28515625" style="523" customWidth="1"/>
    <col min="516" max="516" width="0" style="523" hidden="1" customWidth="1"/>
    <col min="517" max="741" width="11.42578125" style="523"/>
    <col min="742" max="742" width="1.42578125" style="523" customWidth="1"/>
    <col min="743" max="743" width="7.5703125" style="523" customWidth="1"/>
    <col min="744" max="744" width="4.85546875" style="523" customWidth="1"/>
    <col min="745" max="745" width="8" style="523" customWidth="1"/>
    <col min="746" max="746" width="8.140625" style="523" customWidth="1"/>
    <col min="747" max="747" width="7.28515625" style="523" customWidth="1"/>
    <col min="748" max="748" width="20.7109375" style="523" customWidth="1"/>
    <col min="749" max="749" width="15" style="523" customWidth="1"/>
    <col min="750" max="750" width="0.140625" style="523" customWidth="1"/>
    <col min="751" max="751" width="0" style="523" hidden="1" customWidth="1"/>
    <col min="752" max="752" width="78.85546875" style="523" customWidth="1"/>
    <col min="753" max="753" width="14.140625" style="523" customWidth="1"/>
    <col min="754" max="754" width="0.28515625" style="523" customWidth="1"/>
    <col min="755" max="755" width="11.7109375" style="523" customWidth="1"/>
    <col min="756" max="756" width="8.7109375" style="523" customWidth="1"/>
    <col min="757" max="757" width="0" style="523" hidden="1" customWidth="1"/>
    <col min="758" max="758" width="11.42578125" style="523" customWidth="1"/>
    <col min="759" max="761" width="0" style="523" hidden="1" customWidth="1"/>
    <col min="762" max="762" width="19" style="523" customWidth="1"/>
    <col min="763" max="763" width="17.28515625" style="523" customWidth="1"/>
    <col min="764" max="764" width="19.7109375" style="523" customWidth="1"/>
    <col min="765" max="765" width="20.7109375" style="523" customWidth="1"/>
    <col min="766" max="766" width="13.140625" style="523" bestFit="1" customWidth="1"/>
    <col min="767" max="767" width="21.5703125" style="523" customWidth="1"/>
    <col min="768" max="768" width="16" style="523" bestFit="1" customWidth="1"/>
    <col min="769" max="769" width="13.140625" style="523" bestFit="1" customWidth="1"/>
    <col min="770" max="770" width="38.28515625" style="523" bestFit="1" customWidth="1"/>
    <col min="771" max="771" width="1.28515625" style="523" customWidth="1"/>
    <col min="772" max="772" width="0" style="523" hidden="1" customWidth="1"/>
    <col min="773" max="997" width="11.42578125" style="523"/>
    <col min="998" max="998" width="1.42578125" style="523" customWidth="1"/>
    <col min="999" max="999" width="7.5703125" style="523" customWidth="1"/>
    <col min="1000" max="1000" width="4.85546875" style="523" customWidth="1"/>
    <col min="1001" max="1001" width="8" style="523" customWidth="1"/>
    <col min="1002" max="1002" width="8.140625" style="523" customWidth="1"/>
    <col min="1003" max="1003" width="7.28515625" style="523" customWidth="1"/>
    <col min="1004" max="1004" width="20.7109375" style="523" customWidth="1"/>
    <col min="1005" max="1005" width="15" style="523" customWidth="1"/>
    <col min="1006" max="1006" width="0.140625" style="523" customWidth="1"/>
    <col min="1007" max="1007" width="0" style="523" hidden="1" customWidth="1"/>
    <col min="1008" max="1008" width="78.85546875" style="523" customWidth="1"/>
    <col min="1009" max="1009" width="14.140625" style="523" customWidth="1"/>
    <col min="1010" max="1010" width="0.28515625" style="523" customWidth="1"/>
    <col min="1011" max="1011" width="11.7109375" style="523" customWidth="1"/>
    <col min="1012" max="1012" width="8.7109375" style="523" customWidth="1"/>
    <col min="1013" max="1013" width="0" style="523" hidden="1" customWidth="1"/>
    <col min="1014" max="1014" width="11.42578125" style="523" customWidth="1"/>
    <col min="1015" max="1017" width="0" style="523" hidden="1" customWidth="1"/>
    <col min="1018" max="1018" width="19" style="523" customWidth="1"/>
    <col min="1019" max="1019" width="17.28515625" style="523" customWidth="1"/>
    <col min="1020" max="1020" width="19.7109375" style="523" customWidth="1"/>
    <col min="1021" max="1021" width="20.7109375" style="523" customWidth="1"/>
    <col min="1022" max="1022" width="13.140625" style="523" bestFit="1" customWidth="1"/>
    <col min="1023" max="1023" width="21.5703125" style="523" customWidth="1"/>
    <col min="1024" max="1024" width="16" style="523" bestFit="1" customWidth="1"/>
    <col min="1025" max="1025" width="13.140625" style="523" bestFit="1" customWidth="1"/>
    <col min="1026" max="1026" width="38.28515625" style="523" bestFit="1" customWidth="1"/>
    <col min="1027" max="1027" width="1.28515625" style="523" customWidth="1"/>
    <col min="1028" max="1028" width="0" style="523" hidden="1" customWidth="1"/>
    <col min="1029" max="1253" width="11.42578125" style="523"/>
    <col min="1254" max="1254" width="1.42578125" style="523" customWidth="1"/>
    <col min="1255" max="1255" width="7.5703125" style="523" customWidth="1"/>
    <col min="1256" max="1256" width="4.85546875" style="523" customWidth="1"/>
    <col min="1257" max="1257" width="8" style="523" customWidth="1"/>
    <col min="1258" max="1258" width="8.140625" style="523" customWidth="1"/>
    <col min="1259" max="1259" width="7.28515625" style="523" customWidth="1"/>
    <col min="1260" max="1260" width="20.7109375" style="523" customWidth="1"/>
    <col min="1261" max="1261" width="15" style="523" customWidth="1"/>
    <col min="1262" max="1262" width="0.140625" style="523" customWidth="1"/>
    <col min="1263" max="1263" width="0" style="523" hidden="1" customWidth="1"/>
    <col min="1264" max="1264" width="78.85546875" style="523" customWidth="1"/>
    <col min="1265" max="1265" width="14.140625" style="523" customWidth="1"/>
    <col min="1266" max="1266" width="0.28515625" style="523" customWidth="1"/>
    <col min="1267" max="1267" width="11.7109375" style="523" customWidth="1"/>
    <col min="1268" max="1268" width="8.7109375" style="523" customWidth="1"/>
    <col min="1269" max="1269" width="0" style="523" hidden="1" customWidth="1"/>
    <col min="1270" max="1270" width="11.42578125" style="523" customWidth="1"/>
    <col min="1271" max="1273" width="0" style="523" hidden="1" customWidth="1"/>
    <col min="1274" max="1274" width="19" style="523" customWidth="1"/>
    <col min="1275" max="1275" width="17.28515625" style="523" customWidth="1"/>
    <col min="1276" max="1276" width="19.7109375" style="523" customWidth="1"/>
    <col min="1277" max="1277" width="20.7109375" style="523" customWidth="1"/>
    <col min="1278" max="1278" width="13.140625" style="523" bestFit="1" customWidth="1"/>
    <col min="1279" max="1279" width="21.5703125" style="523" customWidth="1"/>
    <col min="1280" max="1280" width="16" style="523" bestFit="1" customWidth="1"/>
    <col min="1281" max="1281" width="13.140625" style="523" bestFit="1" customWidth="1"/>
    <col min="1282" max="1282" width="38.28515625" style="523" bestFit="1" customWidth="1"/>
    <col min="1283" max="1283" width="1.28515625" style="523" customWidth="1"/>
    <col min="1284" max="1284" width="0" style="523" hidden="1" customWidth="1"/>
    <col min="1285" max="1509" width="11.42578125" style="523"/>
    <col min="1510" max="1510" width="1.42578125" style="523" customWidth="1"/>
    <col min="1511" max="1511" width="7.5703125" style="523" customWidth="1"/>
    <col min="1512" max="1512" width="4.85546875" style="523" customWidth="1"/>
    <col min="1513" max="1513" width="8" style="523" customWidth="1"/>
    <col min="1514" max="1514" width="8.140625" style="523" customWidth="1"/>
    <col min="1515" max="1515" width="7.28515625" style="523" customWidth="1"/>
    <col min="1516" max="1516" width="20.7109375" style="523" customWidth="1"/>
    <col min="1517" max="1517" width="15" style="523" customWidth="1"/>
    <col min="1518" max="1518" width="0.140625" style="523" customWidth="1"/>
    <col min="1519" max="1519" width="0" style="523" hidden="1" customWidth="1"/>
    <col min="1520" max="1520" width="78.85546875" style="523" customWidth="1"/>
    <col min="1521" max="1521" width="14.140625" style="523" customWidth="1"/>
    <col min="1522" max="1522" width="0.28515625" style="523" customWidth="1"/>
    <col min="1523" max="1523" width="11.7109375" style="523" customWidth="1"/>
    <col min="1524" max="1524" width="8.7109375" style="523" customWidth="1"/>
    <col min="1525" max="1525" width="0" style="523" hidden="1" customWidth="1"/>
    <col min="1526" max="1526" width="11.42578125" style="523" customWidth="1"/>
    <col min="1527" max="1529" width="0" style="523" hidden="1" customWidth="1"/>
    <col min="1530" max="1530" width="19" style="523" customWidth="1"/>
    <col min="1531" max="1531" width="17.28515625" style="523" customWidth="1"/>
    <col min="1532" max="1532" width="19.7109375" style="523" customWidth="1"/>
    <col min="1533" max="1533" width="20.7109375" style="523" customWidth="1"/>
    <col min="1534" max="1534" width="13.140625" style="523" bestFit="1" customWidth="1"/>
    <col min="1535" max="1535" width="21.5703125" style="523" customWidth="1"/>
    <col min="1536" max="1536" width="16" style="523" bestFit="1" customWidth="1"/>
    <col min="1537" max="1537" width="13.140625" style="523" bestFit="1" customWidth="1"/>
    <col min="1538" max="1538" width="38.28515625" style="523" bestFit="1" customWidth="1"/>
    <col min="1539" max="1539" width="1.28515625" style="523" customWidth="1"/>
    <col min="1540" max="1540" width="0" style="523" hidden="1" customWidth="1"/>
    <col min="1541" max="1765" width="11.42578125" style="523"/>
    <col min="1766" max="1766" width="1.42578125" style="523" customWidth="1"/>
    <col min="1767" max="1767" width="7.5703125" style="523" customWidth="1"/>
    <col min="1768" max="1768" width="4.85546875" style="523" customWidth="1"/>
    <col min="1769" max="1769" width="8" style="523" customWidth="1"/>
    <col min="1770" max="1770" width="8.140625" style="523" customWidth="1"/>
    <col min="1771" max="1771" width="7.28515625" style="523" customWidth="1"/>
    <col min="1772" max="1772" width="20.7109375" style="523" customWidth="1"/>
    <col min="1773" max="1773" width="15" style="523" customWidth="1"/>
    <col min="1774" max="1774" width="0.140625" style="523" customWidth="1"/>
    <col min="1775" max="1775" width="0" style="523" hidden="1" customWidth="1"/>
    <col min="1776" max="1776" width="78.85546875" style="523" customWidth="1"/>
    <col min="1777" max="1777" width="14.140625" style="523" customWidth="1"/>
    <col min="1778" max="1778" width="0.28515625" style="523" customWidth="1"/>
    <col min="1779" max="1779" width="11.7109375" style="523" customWidth="1"/>
    <col min="1780" max="1780" width="8.7109375" style="523" customWidth="1"/>
    <col min="1781" max="1781" width="0" style="523" hidden="1" customWidth="1"/>
    <col min="1782" max="1782" width="11.42578125" style="523" customWidth="1"/>
    <col min="1783" max="1785" width="0" style="523" hidden="1" customWidth="1"/>
    <col min="1786" max="1786" width="19" style="523" customWidth="1"/>
    <col min="1787" max="1787" width="17.28515625" style="523" customWidth="1"/>
    <col min="1788" max="1788" width="19.7109375" style="523" customWidth="1"/>
    <col min="1789" max="1789" width="20.7109375" style="523" customWidth="1"/>
    <col min="1790" max="1790" width="13.140625" style="523" bestFit="1" customWidth="1"/>
    <col min="1791" max="1791" width="21.5703125" style="523" customWidth="1"/>
    <col min="1792" max="1792" width="16" style="523" bestFit="1" customWidth="1"/>
    <col min="1793" max="1793" width="13.140625" style="523" bestFit="1" customWidth="1"/>
    <col min="1794" max="1794" width="38.28515625" style="523" bestFit="1" customWidth="1"/>
    <col min="1795" max="1795" width="1.28515625" style="523" customWidth="1"/>
    <col min="1796" max="1796" width="0" style="523" hidden="1" customWidth="1"/>
    <col min="1797" max="2021" width="11.42578125" style="523"/>
    <col min="2022" max="2022" width="1.42578125" style="523" customWidth="1"/>
    <col min="2023" max="2023" width="7.5703125" style="523" customWidth="1"/>
    <col min="2024" max="2024" width="4.85546875" style="523" customWidth="1"/>
    <col min="2025" max="2025" width="8" style="523" customWidth="1"/>
    <col min="2026" max="2026" width="8.140625" style="523" customWidth="1"/>
    <col min="2027" max="2027" width="7.28515625" style="523" customWidth="1"/>
    <col min="2028" max="2028" width="20.7109375" style="523" customWidth="1"/>
    <col min="2029" max="2029" width="15" style="523" customWidth="1"/>
    <col min="2030" max="2030" width="0.140625" style="523" customWidth="1"/>
    <col min="2031" max="2031" width="0" style="523" hidden="1" customWidth="1"/>
    <col min="2032" max="2032" width="78.85546875" style="523" customWidth="1"/>
    <col min="2033" max="2033" width="14.140625" style="523" customWidth="1"/>
    <col min="2034" max="2034" width="0.28515625" style="523" customWidth="1"/>
    <col min="2035" max="2035" width="11.7109375" style="523" customWidth="1"/>
    <col min="2036" max="2036" width="8.7109375" style="523" customWidth="1"/>
    <col min="2037" max="2037" width="0" style="523" hidden="1" customWidth="1"/>
    <col min="2038" max="2038" width="11.42578125" style="523" customWidth="1"/>
    <col min="2039" max="2041" width="0" style="523" hidden="1" customWidth="1"/>
    <col min="2042" max="2042" width="19" style="523" customWidth="1"/>
    <col min="2043" max="2043" width="17.28515625" style="523" customWidth="1"/>
    <col min="2044" max="2044" width="19.7109375" style="523" customWidth="1"/>
    <col min="2045" max="2045" width="20.7109375" style="523" customWidth="1"/>
    <col min="2046" max="2046" width="13.140625" style="523" bestFit="1" customWidth="1"/>
    <col min="2047" max="2047" width="21.5703125" style="523" customWidth="1"/>
    <col min="2048" max="2048" width="16" style="523" bestFit="1" customWidth="1"/>
    <col min="2049" max="2049" width="13.140625" style="523" bestFit="1" customWidth="1"/>
    <col min="2050" max="2050" width="38.28515625" style="523" bestFit="1" customWidth="1"/>
    <col min="2051" max="2051" width="1.28515625" style="523" customWidth="1"/>
    <col min="2052" max="2052" width="0" style="523" hidden="1" customWidth="1"/>
    <col min="2053" max="2277" width="11.42578125" style="523"/>
    <col min="2278" max="2278" width="1.42578125" style="523" customWidth="1"/>
    <col min="2279" max="2279" width="7.5703125" style="523" customWidth="1"/>
    <col min="2280" max="2280" width="4.85546875" style="523" customWidth="1"/>
    <col min="2281" max="2281" width="8" style="523" customWidth="1"/>
    <col min="2282" max="2282" width="8.140625" style="523" customWidth="1"/>
    <col min="2283" max="2283" width="7.28515625" style="523" customWidth="1"/>
    <col min="2284" max="2284" width="20.7109375" style="523" customWidth="1"/>
    <col min="2285" max="2285" width="15" style="523" customWidth="1"/>
    <col min="2286" max="2286" width="0.140625" style="523" customWidth="1"/>
    <col min="2287" max="2287" width="0" style="523" hidden="1" customWidth="1"/>
    <col min="2288" max="2288" width="78.85546875" style="523" customWidth="1"/>
    <col min="2289" max="2289" width="14.140625" style="523" customWidth="1"/>
    <col min="2290" max="2290" width="0.28515625" style="523" customWidth="1"/>
    <col min="2291" max="2291" width="11.7109375" style="523" customWidth="1"/>
    <col min="2292" max="2292" width="8.7109375" style="523" customWidth="1"/>
    <col min="2293" max="2293" width="0" style="523" hidden="1" customWidth="1"/>
    <col min="2294" max="2294" width="11.42578125" style="523" customWidth="1"/>
    <col min="2295" max="2297" width="0" style="523" hidden="1" customWidth="1"/>
    <col min="2298" max="2298" width="19" style="523" customWidth="1"/>
    <col min="2299" max="2299" width="17.28515625" style="523" customWidth="1"/>
    <col min="2300" max="2300" width="19.7109375" style="523" customWidth="1"/>
    <col min="2301" max="2301" width="20.7109375" style="523" customWidth="1"/>
    <col min="2302" max="2302" width="13.140625" style="523" bestFit="1" customWidth="1"/>
    <col min="2303" max="2303" width="21.5703125" style="523" customWidth="1"/>
    <col min="2304" max="2304" width="16" style="523" bestFit="1" customWidth="1"/>
    <col min="2305" max="2305" width="13.140625" style="523" bestFit="1" customWidth="1"/>
    <col min="2306" max="2306" width="38.28515625" style="523" bestFit="1" customWidth="1"/>
    <col min="2307" max="2307" width="1.28515625" style="523" customWidth="1"/>
    <col min="2308" max="2308" width="0" style="523" hidden="1" customWidth="1"/>
    <col min="2309" max="2533" width="11.42578125" style="523"/>
    <col min="2534" max="2534" width="1.42578125" style="523" customWidth="1"/>
    <col min="2535" max="2535" width="7.5703125" style="523" customWidth="1"/>
    <col min="2536" max="2536" width="4.85546875" style="523" customWidth="1"/>
    <col min="2537" max="2537" width="8" style="523" customWidth="1"/>
    <col min="2538" max="2538" width="8.140625" style="523" customWidth="1"/>
    <col min="2539" max="2539" width="7.28515625" style="523" customWidth="1"/>
    <col min="2540" max="2540" width="20.7109375" style="523" customWidth="1"/>
    <col min="2541" max="2541" width="15" style="523" customWidth="1"/>
    <col min="2542" max="2542" width="0.140625" style="523" customWidth="1"/>
    <col min="2543" max="2543" width="0" style="523" hidden="1" customWidth="1"/>
    <col min="2544" max="2544" width="78.85546875" style="523" customWidth="1"/>
    <col min="2545" max="2545" width="14.140625" style="523" customWidth="1"/>
    <col min="2546" max="2546" width="0.28515625" style="523" customWidth="1"/>
    <col min="2547" max="2547" width="11.7109375" style="523" customWidth="1"/>
    <col min="2548" max="2548" width="8.7109375" style="523" customWidth="1"/>
    <col min="2549" max="2549" width="0" style="523" hidden="1" customWidth="1"/>
    <col min="2550" max="2550" width="11.42578125" style="523" customWidth="1"/>
    <col min="2551" max="2553" width="0" style="523" hidden="1" customWidth="1"/>
    <col min="2554" max="2554" width="19" style="523" customWidth="1"/>
    <col min="2555" max="2555" width="17.28515625" style="523" customWidth="1"/>
    <col min="2556" max="2556" width="19.7109375" style="523" customWidth="1"/>
    <col min="2557" max="2557" width="20.7109375" style="523" customWidth="1"/>
    <col min="2558" max="2558" width="13.140625" style="523" bestFit="1" customWidth="1"/>
    <col min="2559" max="2559" width="21.5703125" style="523" customWidth="1"/>
    <col min="2560" max="2560" width="16" style="523" bestFit="1" customWidth="1"/>
    <col min="2561" max="2561" width="13.140625" style="523" bestFit="1" customWidth="1"/>
    <col min="2562" max="2562" width="38.28515625" style="523" bestFit="1" customWidth="1"/>
    <col min="2563" max="2563" width="1.28515625" style="523" customWidth="1"/>
    <col min="2564" max="2564" width="0" style="523" hidden="1" customWidth="1"/>
    <col min="2565" max="2789" width="11.42578125" style="523"/>
    <col min="2790" max="2790" width="1.42578125" style="523" customWidth="1"/>
    <col min="2791" max="2791" width="7.5703125" style="523" customWidth="1"/>
    <col min="2792" max="2792" width="4.85546875" style="523" customWidth="1"/>
    <col min="2793" max="2793" width="8" style="523" customWidth="1"/>
    <col min="2794" max="2794" width="8.140625" style="523" customWidth="1"/>
    <col min="2795" max="2795" width="7.28515625" style="523" customWidth="1"/>
    <col min="2796" max="2796" width="20.7109375" style="523" customWidth="1"/>
    <col min="2797" max="2797" width="15" style="523" customWidth="1"/>
    <col min="2798" max="2798" width="0.140625" style="523" customWidth="1"/>
    <col min="2799" max="2799" width="0" style="523" hidden="1" customWidth="1"/>
    <col min="2800" max="2800" width="78.85546875" style="523" customWidth="1"/>
    <col min="2801" max="2801" width="14.140625" style="523" customWidth="1"/>
    <col min="2802" max="2802" width="0.28515625" style="523" customWidth="1"/>
    <col min="2803" max="2803" width="11.7109375" style="523" customWidth="1"/>
    <col min="2804" max="2804" width="8.7109375" style="523" customWidth="1"/>
    <col min="2805" max="2805" width="0" style="523" hidden="1" customWidth="1"/>
    <col min="2806" max="2806" width="11.42578125" style="523" customWidth="1"/>
    <col min="2807" max="2809" width="0" style="523" hidden="1" customWidth="1"/>
    <col min="2810" max="2810" width="19" style="523" customWidth="1"/>
    <col min="2811" max="2811" width="17.28515625" style="523" customWidth="1"/>
    <col min="2812" max="2812" width="19.7109375" style="523" customWidth="1"/>
    <col min="2813" max="2813" width="20.7109375" style="523" customWidth="1"/>
    <col min="2814" max="2814" width="13.140625" style="523" bestFit="1" customWidth="1"/>
    <col min="2815" max="2815" width="21.5703125" style="523" customWidth="1"/>
    <col min="2816" max="2816" width="16" style="523" bestFit="1" customWidth="1"/>
    <col min="2817" max="2817" width="13.140625" style="523" bestFit="1" customWidth="1"/>
    <col min="2818" max="2818" width="38.28515625" style="523" bestFit="1" customWidth="1"/>
    <col min="2819" max="2819" width="1.28515625" style="523" customWidth="1"/>
    <col min="2820" max="2820" width="0" style="523" hidden="1" customWidth="1"/>
    <col min="2821" max="3045" width="11.42578125" style="523"/>
    <col min="3046" max="3046" width="1.42578125" style="523" customWidth="1"/>
    <col min="3047" max="3047" width="7.5703125" style="523" customWidth="1"/>
    <col min="3048" max="3048" width="4.85546875" style="523" customWidth="1"/>
    <col min="3049" max="3049" width="8" style="523" customWidth="1"/>
    <col min="3050" max="3050" width="8.140625" style="523" customWidth="1"/>
    <col min="3051" max="3051" width="7.28515625" style="523" customWidth="1"/>
    <col min="3052" max="3052" width="20.7109375" style="523" customWidth="1"/>
    <col min="3053" max="3053" width="15" style="523" customWidth="1"/>
    <col min="3054" max="3054" width="0.140625" style="523" customWidth="1"/>
    <col min="3055" max="3055" width="0" style="523" hidden="1" customWidth="1"/>
    <col min="3056" max="3056" width="78.85546875" style="523" customWidth="1"/>
    <col min="3057" max="3057" width="14.140625" style="523" customWidth="1"/>
    <col min="3058" max="3058" width="0.28515625" style="523" customWidth="1"/>
    <col min="3059" max="3059" width="11.7109375" style="523" customWidth="1"/>
    <col min="3060" max="3060" width="8.7109375" style="523" customWidth="1"/>
    <col min="3061" max="3061" width="0" style="523" hidden="1" customWidth="1"/>
    <col min="3062" max="3062" width="11.42578125" style="523" customWidth="1"/>
    <col min="3063" max="3065" width="0" style="523" hidden="1" customWidth="1"/>
    <col min="3066" max="3066" width="19" style="523" customWidth="1"/>
    <col min="3067" max="3067" width="17.28515625" style="523" customWidth="1"/>
    <col min="3068" max="3068" width="19.7109375" style="523" customWidth="1"/>
    <col min="3069" max="3069" width="20.7109375" style="523" customWidth="1"/>
    <col min="3070" max="3070" width="13.140625" style="523" bestFit="1" customWidth="1"/>
    <col min="3071" max="3071" width="21.5703125" style="523" customWidth="1"/>
    <col min="3072" max="3072" width="16" style="523" bestFit="1" customWidth="1"/>
    <col min="3073" max="3073" width="13.140625" style="523" bestFit="1" customWidth="1"/>
    <col min="3074" max="3074" width="38.28515625" style="523" bestFit="1" customWidth="1"/>
    <col min="3075" max="3075" width="1.28515625" style="523" customWidth="1"/>
    <col min="3076" max="3076" width="0" style="523" hidden="1" customWidth="1"/>
    <col min="3077" max="3301" width="11.42578125" style="523"/>
    <col min="3302" max="3302" width="1.42578125" style="523" customWidth="1"/>
    <col min="3303" max="3303" width="7.5703125" style="523" customWidth="1"/>
    <col min="3304" max="3304" width="4.85546875" style="523" customWidth="1"/>
    <col min="3305" max="3305" width="8" style="523" customWidth="1"/>
    <col min="3306" max="3306" width="8.140625" style="523" customWidth="1"/>
    <col min="3307" max="3307" width="7.28515625" style="523" customWidth="1"/>
    <col min="3308" max="3308" width="20.7109375" style="523" customWidth="1"/>
    <col min="3309" max="3309" width="15" style="523" customWidth="1"/>
    <col min="3310" max="3310" width="0.140625" style="523" customWidth="1"/>
    <col min="3311" max="3311" width="0" style="523" hidden="1" customWidth="1"/>
    <col min="3312" max="3312" width="78.85546875" style="523" customWidth="1"/>
    <col min="3313" max="3313" width="14.140625" style="523" customWidth="1"/>
    <col min="3314" max="3314" width="0.28515625" style="523" customWidth="1"/>
    <col min="3315" max="3315" width="11.7109375" style="523" customWidth="1"/>
    <col min="3316" max="3316" width="8.7109375" style="523" customWidth="1"/>
    <col min="3317" max="3317" width="0" style="523" hidden="1" customWidth="1"/>
    <col min="3318" max="3318" width="11.42578125" style="523" customWidth="1"/>
    <col min="3319" max="3321" width="0" style="523" hidden="1" customWidth="1"/>
    <col min="3322" max="3322" width="19" style="523" customWidth="1"/>
    <col min="3323" max="3323" width="17.28515625" style="523" customWidth="1"/>
    <col min="3324" max="3324" width="19.7109375" style="523" customWidth="1"/>
    <col min="3325" max="3325" width="20.7109375" style="523" customWidth="1"/>
    <col min="3326" max="3326" width="13.140625" style="523" bestFit="1" customWidth="1"/>
    <col min="3327" max="3327" width="21.5703125" style="523" customWidth="1"/>
    <col min="3328" max="3328" width="16" style="523" bestFit="1" customWidth="1"/>
    <col min="3329" max="3329" width="13.140625" style="523" bestFit="1" customWidth="1"/>
    <col min="3330" max="3330" width="38.28515625" style="523" bestFit="1" customWidth="1"/>
    <col min="3331" max="3331" width="1.28515625" style="523" customWidth="1"/>
    <col min="3332" max="3332" width="0" style="523" hidden="1" customWidth="1"/>
    <col min="3333" max="3557" width="11.42578125" style="523"/>
    <col min="3558" max="3558" width="1.42578125" style="523" customWidth="1"/>
    <col min="3559" max="3559" width="7.5703125" style="523" customWidth="1"/>
    <col min="3560" max="3560" width="4.85546875" style="523" customWidth="1"/>
    <col min="3561" max="3561" width="8" style="523" customWidth="1"/>
    <col min="3562" max="3562" width="8.140625" style="523" customWidth="1"/>
    <col min="3563" max="3563" width="7.28515625" style="523" customWidth="1"/>
    <col min="3564" max="3564" width="20.7109375" style="523" customWidth="1"/>
    <col min="3565" max="3565" width="15" style="523" customWidth="1"/>
    <col min="3566" max="3566" width="0.140625" style="523" customWidth="1"/>
    <col min="3567" max="3567" width="0" style="523" hidden="1" customWidth="1"/>
    <col min="3568" max="3568" width="78.85546875" style="523" customWidth="1"/>
    <col min="3569" max="3569" width="14.140625" style="523" customWidth="1"/>
    <col min="3570" max="3570" width="0.28515625" style="523" customWidth="1"/>
    <col min="3571" max="3571" width="11.7109375" style="523" customWidth="1"/>
    <col min="3572" max="3572" width="8.7109375" style="523" customWidth="1"/>
    <col min="3573" max="3573" width="0" style="523" hidden="1" customWidth="1"/>
    <col min="3574" max="3574" width="11.42578125" style="523" customWidth="1"/>
    <col min="3575" max="3577" width="0" style="523" hidden="1" customWidth="1"/>
    <col min="3578" max="3578" width="19" style="523" customWidth="1"/>
    <col min="3579" max="3579" width="17.28515625" style="523" customWidth="1"/>
    <col min="3580" max="3580" width="19.7109375" style="523" customWidth="1"/>
    <col min="3581" max="3581" width="20.7109375" style="523" customWidth="1"/>
    <col min="3582" max="3582" width="13.140625" style="523" bestFit="1" customWidth="1"/>
    <col min="3583" max="3583" width="21.5703125" style="523" customWidth="1"/>
    <col min="3584" max="3584" width="16" style="523" bestFit="1" customWidth="1"/>
    <col min="3585" max="3585" width="13.140625" style="523" bestFit="1" customWidth="1"/>
    <col min="3586" max="3586" width="38.28515625" style="523" bestFit="1" customWidth="1"/>
    <col min="3587" max="3587" width="1.28515625" style="523" customWidth="1"/>
    <col min="3588" max="3588" width="0" style="523" hidden="1" customWidth="1"/>
    <col min="3589" max="3813" width="11.42578125" style="523"/>
    <col min="3814" max="3814" width="1.42578125" style="523" customWidth="1"/>
    <col min="3815" max="3815" width="7.5703125" style="523" customWidth="1"/>
    <col min="3816" max="3816" width="4.85546875" style="523" customWidth="1"/>
    <col min="3817" max="3817" width="8" style="523" customWidth="1"/>
    <col min="3818" max="3818" width="8.140625" style="523" customWidth="1"/>
    <col min="3819" max="3819" width="7.28515625" style="523" customWidth="1"/>
    <col min="3820" max="3820" width="20.7109375" style="523" customWidth="1"/>
    <col min="3821" max="3821" width="15" style="523" customWidth="1"/>
    <col min="3822" max="3822" width="0.140625" style="523" customWidth="1"/>
    <col min="3823" max="3823" width="0" style="523" hidden="1" customWidth="1"/>
    <col min="3824" max="3824" width="78.85546875" style="523" customWidth="1"/>
    <col min="3825" max="3825" width="14.140625" style="523" customWidth="1"/>
    <col min="3826" max="3826" width="0.28515625" style="523" customWidth="1"/>
    <col min="3827" max="3827" width="11.7109375" style="523" customWidth="1"/>
    <col min="3828" max="3828" width="8.7109375" style="523" customWidth="1"/>
    <col min="3829" max="3829" width="0" style="523" hidden="1" customWidth="1"/>
    <col min="3830" max="3830" width="11.42578125" style="523" customWidth="1"/>
    <col min="3831" max="3833" width="0" style="523" hidden="1" customWidth="1"/>
    <col min="3834" max="3834" width="19" style="523" customWidth="1"/>
    <col min="3835" max="3835" width="17.28515625" style="523" customWidth="1"/>
    <col min="3836" max="3836" width="19.7109375" style="523" customWidth="1"/>
    <col min="3837" max="3837" width="20.7109375" style="523" customWidth="1"/>
    <col min="3838" max="3838" width="13.140625" style="523" bestFit="1" customWidth="1"/>
    <col min="3839" max="3839" width="21.5703125" style="523" customWidth="1"/>
    <col min="3840" max="3840" width="16" style="523" bestFit="1" customWidth="1"/>
    <col min="3841" max="3841" width="13.140625" style="523" bestFit="1" customWidth="1"/>
    <col min="3842" max="3842" width="38.28515625" style="523" bestFit="1" customWidth="1"/>
    <col min="3843" max="3843" width="1.28515625" style="523" customWidth="1"/>
    <col min="3844" max="3844" width="0" style="523" hidden="1" customWidth="1"/>
    <col min="3845" max="4069" width="11.42578125" style="523"/>
    <col min="4070" max="4070" width="1.42578125" style="523" customWidth="1"/>
    <col min="4071" max="4071" width="7.5703125" style="523" customWidth="1"/>
    <col min="4072" max="4072" width="4.85546875" style="523" customWidth="1"/>
    <col min="4073" max="4073" width="8" style="523" customWidth="1"/>
    <col min="4074" max="4074" width="8.140625" style="523" customWidth="1"/>
    <col min="4075" max="4075" width="7.28515625" style="523" customWidth="1"/>
    <col min="4076" max="4076" width="20.7109375" style="523" customWidth="1"/>
    <col min="4077" max="4077" width="15" style="523" customWidth="1"/>
    <col min="4078" max="4078" width="0.140625" style="523" customWidth="1"/>
    <col min="4079" max="4079" width="0" style="523" hidden="1" customWidth="1"/>
    <col min="4080" max="4080" width="78.85546875" style="523" customWidth="1"/>
    <col min="4081" max="4081" width="14.140625" style="523" customWidth="1"/>
    <col min="4082" max="4082" width="0.28515625" style="523" customWidth="1"/>
    <col min="4083" max="4083" width="11.7109375" style="523" customWidth="1"/>
    <col min="4084" max="4084" width="8.7109375" style="523" customWidth="1"/>
    <col min="4085" max="4085" width="0" style="523" hidden="1" customWidth="1"/>
    <col min="4086" max="4086" width="11.42578125" style="523" customWidth="1"/>
    <col min="4087" max="4089" width="0" style="523" hidden="1" customWidth="1"/>
    <col min="4090" max="4090" width="19" style="523" customWidth="1"/>
    <col min="4091" max="4091" width="17.28515625" style="523" customWidth="1"/>
    <col min="4092" max="4092" width="19.7109375" style="523" customWidth="1"/>
    <col min="4093" max="4093" width="20.7109375" style="523" customWidth="1"/>
    <col min="4094" max="4094" width="13.140625" style="523" bestFit="1" customWidth="1"/>
    <col min="4095" max="4095" width="21.5703125" style="523" customWidth="1"/>
    <col min="4096" max="4096" width="16" style="523" bestFit="1" customWidth="1"/>
    <col min="4097" max="4097" width="13.140625" style="523" bestFit="1" customWidth="1"/>
    <col min="4098" max="4098" width="38.28515625" style="523" bestFit="1" customWidth="1"/>
    <col min="4099" max="4099" width="1.28515625" style="523" customWidth="1"/>
    <col min="4100" max="4100" width="0" style="523" hidden="1" customWidth="1"/>
    <col min="4101" max="4325" width="11.42578125" style="523"/>
    <col min="4326" max="4326" width="1.42578125" style="523" customWidth="1"/>
    <col min="4327" max="4327" width="7.5703125" style="523" customWidth="1"/>
    <col min="4328" max="4328" width="4.85546875" style="523" customWidth="1"/>
    <col min="4329" max="4329" width="8" style="523" customWidth="1"/>
    <col min="4330" max="4330" width="8.140625" style="523" customWidth="1"/>
    <col min="4331" max="4331" width="7.28515625" style="523" customWidth="1"/>
    <col min="4332" max="4332" width="20.7109375" style="523" customWidth="1"/>
    <col min="4333" max="4333" width="15" style="523" customWidth="1"/>
    <col min="4334" max="4334" width="0.140625" style="523" customWidth="1"/>
    <col min="4335" max="4335" width="0" style="523" hidden="1" customWidth="1"/>
    <col min="4336" max="4336" width="78.85546875" style="523" customWidth="1"/>
    <col min="4337" max="4337" width="14.140625" style="523" customWidth="1"/>
    <col min="4338" max="4338" width="0.28515625" style="523" customWidth="1"/>
    <col min="4339" max="4339" width="11.7109375" style="523" customWidth="1"/>
    <col min="4340" max="4340" width="8.7109375" style="523" customWidth="1"/>
    <col min="4341" max="4341" width="0" style="523" hidden="1" customWidth="1"/>
    <col min="4342" max="4342" width="11.42578125" style="523" customWidth="1"/>
    <col min="4343" max="4345" width="0" style="523" hidden="1" customWidth="1"/>
    <col min="4346" max="4346" width="19" style="523" customWidth="1"/>
    <col min="4347" max="4347" width="17.28515625" style="523" customWidth="1"/>
    <col min="4348" max="4348" width="19.7109375" style="523" customWidth="1"/>
    <col min="4349" max="4349" width="20.7109375" style="523" customWidth="1"/>
    <col min="4350" max="4350" width="13.140625" style="523" bestFit="1" customWidth="1"/>
    <col min="4351" max="4351" width="21.5703125" style="523" customWidth="1"/>
    <col min="4352" max="4352" width="16" style="523" bestFit="1" customWidth="1"/>
    <col min="4353" max="4353" width="13.140625" style="523" bestFit="1" customWidth="1"/>
    <col min="4354" max="4354" width="38.28515625" style="523" bestFit="1" customWidth="1"/>
    <col min="4355" max="4355" width="1.28515625" style="523" customWidth="1"/>
    <col min="4356" max="4356" width="0" style="523" hidden="1" customWidth="1"/>
    <col min="4357" max="4581" width="11.42578125" style="523"/>
    <col min="4582" max="4582" width="1.42578125" style="523" customWidth="1"/>
    <col min="4583" max="4583" width="7.5703125" style="523" customWidth="1"/>
    <col min="4584" max="4584" width="4.85546875" style="523" customWidth="1"/>
    <col min="4585" max="4585" width="8" style="523" customWidth="1"/>
    <col min="4586" max="4586" width="8.140625" style="523" customWidth="1"/>
    <col min="4587" max="4587" width="7.28515625" style="523" customWidth="1"/>
    <col min="4588" max="4588" width="20.7109375" style="523" customWidth="1"/>
    <col min="4589" max="4589" width="15" style="523" customWidth="1"/>
    <col min="4590" max="4590" width="0.140625" style="523" customWidth="1"/>
    <col min="4591" max="4591" width="0" style="523" hidden="1" customWidth="1"/>
    <col min="4592" max="4592" width="78.85546875" style="523" customWidth="1"/>
    <col min="4593" max="4593" width="14.140625" style="523" customWidth="1"/>
    <col min="4594" max="4594" width="0.28515625" style="523" customWidth="1"/>
    <col min="4595" max="4595" width="11.7109375" style="523" customWidth="1"/>
    <col min="4596" max="4596" width="8.7109375" style="523" customWidth="1"/>
    <col min="4597" max="4597" width="0" style="523" hidden="1" customWidth="1"/>
    <col min="4598" max="4598" width="11.42578125" style="523" customWidth="1"/>
    <col min="4599" max="4601" width="0" style="523" hidden="1" customWidth="1"/>
    <col min="4602" max="4602" width="19" style="523" customWidth="1"/>
    <col min="4603" max="4603" width="17.28515625" style="523" customWidth="1"/>
    <col min="4604" max="4604" width="19.7109375" style="523" customWidth="1"/>
    <col min="4605" max="4605" width="20.7109375" style="523" customWidth="1"/>
    <col min="4606" max="4606" width="13.140625" style="523" bestFit="1" customWidth="1"/>
    <col min="4607" max="4607" width="21.5703125" style="523" customWidth="1"/>
    <col min="4608" max="4608" width="16" style="523" bestFit="1" customWidth="1"/>
    <col min="4609" max="4609" width="13.140625" style="523" bestFit="1" customWidth="1"/>
    <col min="4610" max="4610" width="38.28515625" style="523" bestFit="1" customWidth="1"/>
    <col min="4611" max="4611" width="1.28515625" style="523" customWidth="1"/>
    <col min="4612" max="4612" width="0" style="523" hidden="1" customWidth="1"/>
    <col min="4613" max="4837" width="11.42578125" style="523"/>
    <col min="4838" max="4838" width="1.42578125" style="523" customWidth="1"/>
    <col min="4839" max="4839" width="7.5703125" style="523" customWidth="1"/>
    <col min="4840" max="4840" width="4.85546875" style="523" customWidth="1"/>
    <col min="4841" max="4841" width="8" style="523" customWidth="1"/>
    <col min="4842" max="4842" width="8.140625" style="523" customWidth="1"/>
    <col min="4843" max="4843" width="7.28515625" style="523" customWidth="1"/>
    <col min="4844" max="4844" width="20.7109375" style="523" customWidth="1"/>
    <col min="4845" max="4845" width="15" style="523" customWidth="1"/>
    <col min="4846" max="4846" width="0.140625" style="523" customWidth="1"/>
    <col min="4847" max="4847" width="0" style="523" hidden="1" customWidth="1"/>
    <col min="4848" max="4848" width="78.85546875" style="523" customWidth="1"/>
    <col min="4849" max="4849" width="14.140625" style="523" customWidth="1"/>
    <col min="4850" max="4850" width="0.28515625" style="523" customWidth="1"/>
    <col min="4851" max="4851" width="11.7109375" style="523" customWidth="1"/>
    <col min="4852" max="4852" width="8.7109375" style="523" customWidth="1"/>
    <col min="4853" max="4853" width="0" style="523" hidden="1" customWidth="1"/>
    <col min="4854" max="4854" width="11.42578125" style="523" customWidth="1"/>
    <col min="4855" max="4857" width="0" style="523" hidden="1" customWidth="1"/>
    <col min="4858" max="4858" width="19" style="523" customWidth="1"/>
    <col min="4859" max="4859" width="17.28515625" style="523" customWidth="1"/>
    <col min="4860" max="4860" width="19.7109375" style="523" customWidth="1"/>
    <col min="4861" max="4861" width="20.7109375" style="523" customWidth="1"/>
    <col min="4862" max="4862" width="13.140625" style="523" bestFit="1" customWidth="1"/>
    <col min="4863" max="4863" width="21.5703125" style="523" customWidth="1"/>
    <col min="4864" max="4864" width="16" style="523" bestFit="1" customWidth="1"/>
    <col min="4865" max="4865" width="13.140625" style="523" bestFit="1" customWidth="1"/>
    <col min="4866" max="4866" width="38.28515625" style="523" bestFit="1" customWidth="1"/>
    <col min="4867" max="4867" width="1.28515625" style="523" customWidth="1"/>
    <col min="4868" max="4868" width="0" style="523" hidden="1" customWidth="1"/>
    <col min="4869" max="5093" width="11.42578125" style="523"/>
    <col min="5094" max="5094" width="1.42578125" style="523" customWidth="1"/>
    <col min="5095" max="5095" width="7.5703125" style="523" customWidth="1"/>
    <col min="5096" max="5096" width="4.85546875" style="523" customWidth="1"/>
    <col min="5097" max="5097" width="8" style="523" customWidth="1"/>
    <col min="5098" max="5098" width="8.140625" style="523" customWidth="1"/>
    <col min="5099" max="5099" width="7.28515625" style="523" customWidth="1"/>
    <col min="5100" max="5100" width="20.7109375" style="523" customWidth="1"/>
    <col min="5101" max="5101" width="15" style="523" customWidth="1"/>
    <col min="5102" max="5102" width="0.140625" style="523" customWidth="1"/>
    <col min="5103" max="5103" width="0" style="523" hidden="1" customWidth="1"/>
    <col min="5104" max="5104" width="78.85546875" style="523" customWidth="1"/>
    <col min="5105" max="5105" width="14.140625" style="523" customWidth="1"/>
    <col min="5106" max="5106" width="0.28515625" style="523" customWidth="1"/>
    <col min="5107" max="5107" width="11.7109375" style="523" customWidth="1"/>
    <col min="5108" max="5108" width="8.7109375" style="523" customWidth="1"/>
    <col min="5109" max="5109" width="0" style="523" hidden="1" customWidth="1"/>
    <col min="5110" max="5110" width="11.42578125" style="523" customWidth="1"/>
    <col min="5111" max="5113" width="0" style="523" hidden="1" customWidth="1"/>
    <col min="5114" max="5114" width="19" style="523" customWidth="1"/>
    <col min="5115" max="5115" width="17.28515625" style="523" customWidth="1"/>
    <col min="5116" max="5116" width="19.7109375" style="523" customWidth="1"/>
    <col min="5117" max="5117" width="20.7109375" style="523" customWidth="1"/>
    <col min="5118" max="5118" width="13.140625" style="523" bestFit="1" customWidth="1"/>
    <col min="5119" max="5119" width="21.5703125" style="523" customWidth="1"/>
    <col min="5120" max="5120" width="16" style="523" bestFit="1" customWidth="1"/>
    <col min="5121" max="5121" width="13.140625" style="523" bestFit="1" customWidth="1"/>
    <col min="5122" max="5122" width="38.28515625" style="523" bestFit="1" customWidth="1"/>
    <col min="5123" max="5123" width="1.28515625" style="523" customWidth="1"/>
    <col min="5124" max="5124" width="0" style="523" hidden="1" customWidth="1"/>
    <col min="5125" max="5349" width="11.42578125" style="523"/>
    <col min="5350" max="5350" width="1.42578125" style="523" customWidth="1"/>
    <col min="5351" max="5351" width="7.5703125" style="523" customWidth="1"/>
    <col min="5352" max="5352" width="4.85546875" style="523" customWidth="1"/>
    <col min="5353" max="5353" width="8" style="523" customWidth="1"/>
    <col min="5354" max="5354" width="8.140625" style="523" customWidth="1"/>
    <col min="5355" max="5355" width="7.28515625" style="523" customWidth="1"/>
    <col min="5356" max="5356" width="20.7109375" style="523" customWidth="1"/>
    <col min="5357" max="5357" width="15" style="523" customWidth="1"/>
    <col min="5358" max="5358" width="0.140625" style="523" customWidth="1"/>
    <col min="5359" max="5359" width="0" style="523" hidden="1" customWidth="1"/>
    <col min="5360" max="5360" width="78.85546875" style="523" customWidth="1"/>
    <col min="5361" max="5361" width="14.140625" style="523" customWidth="1"/>
    <col min="5362" max="5362" width="0.28515625" style="523" customWidth="1"/>
    <col min="5363" max="5363" width="11.7109375" style="523" customWidth="1"/>
    <col min="5364" max="5364" width="8.7109375" style="523" customWidth="1"/>
    <col min="5365" max="5365" width="0" style="523" hidden="1" customWidth="1"/>
    <col min="5366" max="5366" width="11.42578125" style="523" customWidth="1"/>
    <col min="5367" max="5369" width="0" style="523" hidden="1" customWidth="1"/>
    <col min="5370" max="5370" width="19" style="523" customWidth="1"/>
    <col min="5371" max="5371" width="17.28515625" style="523" customWidth="1"/>
    <col min="5372" max="5372" width="19.7109375" style="523" customWidth="1"/>
    <col min="5373" max="5373" width="20.7109375" style="523" customWidth="1"/>
    <col min="5374" max="5374" width="13.140625" style="523" bestFit="1" customWidth="1"/>
    <col min="5375" max="5375" width="21.5703125" style="523" customWidth="1"/>
    <col min="5376" max="5376" width="16" style="523" bestFit="1" customWidth="1"/>
    <col min="5377" max="5377" width="13.140625" style="523" bestFit="1" customWidth="1"/>
    <col min="5378" max="5378" width="38.28515625" style="523" bestFit="1" customWidth="1"/>
    <col min="5379" max="5379" width="1.28515625" style="523" customWidth="1"/>
    <col min="5380" max="5380" width="0" style="523" hidden="1" customWidth="1"/>
    <col min="5381" max="5605" width="11.42578125" style="523"/>
    <col min="5606" max="5606" width="1.42578125" style="523" customWidth="1"/>
    <col min="5607" max="5607" width="7.5703125" style="523" customWidth="1"/>
    <col min="5608" max="5608" width="4.85546875" style="523" customWidth="1"/>
    <col min="5609" max="5609" width="8" style="523" customWidth="1"/>
    <col min="5610" max="5610" width="8.140625" style="523" customWidth="1"/>
    <col min="5611" max="5611" width="7.28515625" style="523" customWidth="1"/>
    <col min="5612" max="5612" width="20.7109375" style="523" customWidth="1"/>
    <col min="5613" max="5613" width="15" style="523" customWidth="1"/>
    <col min="5614" max="5614" width="0.140625" style="523" customWidth="1"/>
    <col min="5615" max="5615" width="0" style="523" hidden="1" customWidth="1"/>
    <col min="5616" max="5616" width="78.85546875" style="523" customWidth="1"/>
    <col min="5617" max="5617" width="14.140625" style="523" customWidth="1"/>
    <col min="5618" max="5618" width="0.28515625" style="523" customWidth="1"/>
    <col min="5619" max="5619" width="11.7109375" style="523" customWidth="1"/>
    <col min="5620" max="5620" width="8.7109375" style="523" customWidth="1"/>
    <col min="5621" max="5621" width="0" style="523" hidden="1" customWidth="1"/>
    <col min="5622" max="5622" width="11.42578125" style="523" customWidth="1"/>
    <col min="5623" max="5625" width="0" style="523" hidden="1" customWidth="1"/>
    <col min="5626" max="5626" width="19" style="523" customWidth="1"/>
    <col min="5627" max="5627" width="17.28515625" style="523" customWidth="1"/>
    <col min="5628" max="5628" width="19.7109375" style="523" customWidth="1"/>
    <col min="5629" max="5629" width="20.7109375" style="523" customWidth="1"/>
    <col min="5630" max="5630" width="13.140625" style="523" bestFit="1" customWidth="1"/>
    <col min="5631" max="5631" width="21.5703125" style="523" customWidth="1"/>
    <col min="5632" max="5632" width="16" style="523" bestFit="1" customWidth="1"/>
    <col min="5633" max="5633" width="13.140625" style="523" bestFit="1" customWidth="1"/>
    <col min="5634" max="5634" width="38.28515625" style="523" bestFit="1" customWidth="1"/>
    <col min="5635" max="5635" width="1.28515625" style="523" customWidth="1"/>
    <col min="5636" max="5636" width="0" style="523" hidden="1" customWidth="1"/>
    <col min="5637" max="5861" width="11.42578125" style="523"/>
    <col min="5862" max="5862" width="1.42578125" style="523" customWidth="1"/>
    <col min="5863" max="5863" width="7.5703125" style="523" customWidth="1"/>
    <col min="5864" max="5864" width="4.85546875" style="523" customWidth="1"/>
    <col min="5865" max="5865" width="8" style="523" customWidth="1"/>
    <col min="5866" max="5866" width="8.140625" style="523" customWidth="1"/>
    <col min="5867" max="5867" width="7.28515625" style="523" customWidth="1"/>
    <col min="5868" max="5868" width="20.7109375" style="523" customWidth="1"/>
    <col min="5869" max="5869" width="15" style="523" customWidth="1"/>
    <col min="5870" max="5870" width="0.140625" style="523" customWidth="1"/>
    <col min="5871" max="5871" width="0" style="523" hidden="1" customWidth="1"/>
    <col min="5872" max="5872" width="78.85546875" style="523" customWidth="1"/>
    <col min="5873" max="5873" width="14.140625" style="523" customWidth="1"/>
    <col min="5874" max="5874" width="0.28515625" style="523" customWidth="1"/>
    <col min="5875" max="5875" width="11.7109375" style="523" customWidth="1"/>
    <col min="5876" max="5876" width="8.7109375" style="523" customWidth="1"/>
    <col min="5877" max="5877" width="0" style="523" hidden="1" customWidth="1"/>
    <col min="5878" max="5878" width="11.42578125" style="523" customWidth="1"/>
    <col min="5879" max="5881" width="0" style="523" hidden="1" customWidth="1"/>
    <col min="5882" max="5882" width="19" style="523" customWidth="1"/>
    <col min="5883" max="5883" width="17.28515625" style="523" customWidth="1"/>
    <col min="5884" max="5884" width="19.7109375" style="523" customWidth="1"/>
    <col min="5885" max="5885" width="20.7109375" style="523" customWidth="1"/>
    <col min="5886" max="5886" width="13.140625" style="523" bestFit="1" customWidth="1"/>
    <col min="5887" max="5887" width="21.5703125" style="523" customWidth="1"/>
    <col min="5888" max="5888" width="16" style="523" bestFit="1" customWidth="1"/>
    <col min="5889" max="5889" width="13.140625" style="523" bestFit="1" customWidth="1"/>
    <col min="5890" max="5890" width="38.28515625" style="523" bestFit="1" customWidth="1"/>
    <col min="5891" max="5891" width="1.28515625" style="523" customWidth="1"/>
    <col min="5892" max="5892" width="0" style="523" hidden="1" customWidth="1"/>
    <col min="5893" max="6117" width="11.42578125" style="523"/>
    <col min="6118" max="6118" width="1.42578125" style="523" customWidth="1"/>
    <col min="6119" max="6119" width="7.5703125" style="523" customWidth="1"/>
    <col min="6120" max="6120" width="4.85546875" style="523" customWidth="1"/>
    <col min="6121" max="6121" width="8" style="523" customWidth="1"/>
    <col min="6122" max="6122" width="8.140625" style="523" customWidth="1"/>
    <col min="6123" max="6123" width="7.28515625" style="523" customWidth="1"/>
    <col min="6124" max="6124" width="20.7109375" style="523" customWidth="1"/>
    <col min="6125" max="6125" width="15" style="523" customWidth="1"/>
    <col min="6126" max="6126" width="0.140625" style="523" customWidth="1"/>
    <col min="6127" max="6127" width="0" style="523" hidden="1" customWidth="1"/>
    <col min="6128" max="6128" width="78.85546875" style="523" customWidth="1"/>
    <col min="6129" max="6129" width="14.140625" style="523" customWidth="1"/>
    <col min="6130" max="6130" width="0.28515625" style="523" customWidth="1"/>
    <col min="6131" max="6131" width="11.7109375" style="523" customWidth="1"/>
    <col min="6132" max="6132" width="8.7109375" style="523" customWidth="1"/>
    <col min="6133" max="6133" width="0" style="523" hidden="1" customWidth="1"/>
    <col min="6134" max="6134" width="11.42578125" style="523" customWidth="1"/>
    <col min="6135" max="6137" width="0" style="523" hidden="1" customWidth="1"/>
    <col min="6138" max="6138" width="19" style="523" customWidth="1"/>
    <col min="6139" max="6139" width="17.28515625" style="523" customWidth="1"/>
    <col min="6140" max="6140" width="19.7109375" style="523" customWidth="1"/>
    <col min="6141" max="6141" width="20.7109375" style="523" customWidth="1"/>
    <col min="6142" max="6142" width="13.140625" style="523" bestFit="1" customWidth="1"/>
    <col min="6143" max="6143" width="21.5703125" style="523" customWidth="1"/>
    <col min="6144" max="6144" width="16" style="523" bestFit="1" customWidth="1"/>
    <col min="6145" max="6145" width="13.140625" style="523" bestFit="1" customWidth="1"/>
    <col min="6146" max="6146" width="38.28515625" style="523" bestFit="1" customWidth="1"/>
    <col min="6147" max="6147" width="1.28515625" style="523" customWidth="1"/>
    <col min="6148" max="6148" width="0" style="523" hidden="1" customWidth="1"/>
    <col min="6149" max="6373" width="11.42578125" style="523"/>
    <col min="6374" max="6374" width="1.42578125" style="523" customWidth="1"/>
    <col min="6375" max="6375" width="7.5703125" style="523" customWidth="1"/>
    <col min="6376" max="6376" width="4.85546875" style="523" customWidth="1"/>
    <col min="6377" max="6377" width="8" style="523" customWidth="1"/>
    <col min="6378" max="6378" width="8.140625" style="523" customWidth="1"/>
    <col min="6379" max="6379" width="7.28515625" style="523" customWidth="1"/>
    <col min="6380" max="6380" width="20.7109375" style="523" customWidth="1"/>
    <col min="6381" max="6381" width="15" style="523" customWidth="1"/>
    <col min="6382" max="6382" width="0.140625" style="523" customWidth="1"/>
    <col min="6383" max="6383" width="0" style="523" hidden="1" customWidth="1"/>
    <col min="6384" max="6384" width="78.85546875" style="523" customWidth="1"/>
    <col min="6385" max="6385" width="14.140625" style="523" customWidth="1"/>
    <col min="6386" max="6386" width="0.28515625" style="523" customWidth="1"/>
    <col min="6387" max="6387" width="11.7109375" style="523" customWidth="1"/>
    <col min="6388" max="6388" width="8.7109375" style="523" customWidth="1"/>
    <col min="6389" max="6389" width="0" style="523" hidden="1" customWidth="1"/>
    <col min="6390" max="6390" width="11.42578125" style="523" customWidth="1"/>
    <col min="6391" max="6393" width="0" style="523" hidden="1" customWidth="1"/>
    <col min="6394" max="6394" width="19" style="523" customWidth="1"/>
    <col min="6395" max="6395" width="17.28515625" style="523" customWidth="1"/>
    <col min="6396" max="6396" width="19.7109375" style="523" customWidth="1"/>
    <col min="6397" max="6397" width="20.7109375" style="523" customWidth="1"/>
    <col min="6398" max="6398" width="13.140625" style="523" bestFit="1" customWidth="1"/>
    <col min="6399" max="6399" width="21.5703125" style="523" customWidth="1"/>
    <col min="6400" max="6400" width="16" style="523" bestFit="1" customWidth="1"/>
    <col min="6401" max="6401" width="13.140625" style="523" bestFit="1" customWidth="1"/>
    <col min="6402" max="6402" width="38.28515625" style="523" bestFit="1" customWidth="1"/>
    <col min="6403" max="6403" width="1.28515625" style="523" customWidth="1"/>
    <col min="6404" max="6404" width="0" style="523" hidden="1" customWidth="1"/>
    <col min="6405" max="6629" width="11.42578125" style="523"/>
    <col min="6630" max="6630" width="1.42578125" style="523" customWidth="1"/>
    <col min="6631" max="6631" width="7.5703125" style="523" customWidth="1"/>
    <col min="6632" max="6632" width="4.85546875" style="523" customWidth="1"/>
    <col min="6633" max="6633" width="8" style="523" customWidth="1"/>
    <col min="6634" max="6634" width="8.140625" style="523" customWidth="1"/>
    <col min="6635" max="6635" width="7.28515625" style="523" customWidth="1"/>
    <col min="6636" max="6636" width="20.7109375" style="523" customWidth="1"/>
    <col min="6637" max="6637" width="15" style="523" customWidth="1"/>
    <col min="6638" max="6638" width="0.140625" style="523" customWidth="1"/>
    <col min="6639" max="6639" width="0" style="523" hidden="1" customWidth="1"/>
    <col min="6640" max="6640" width="78.85546875" style="523" customWidth="1"/>
    <col min="6641" max="6641" width="14.140625" style="523" customWidth="1"/>
    <col min="6642" max="6642" width="0.28515625" style="523" customWidth="1"/>
    <col min="6643" max="6643" width="11.7109375" style="523" customWidth="1"/>
    <col min="6644" max="6644" width="8.7109375" style="523" customWidth="1"/>
    <col min="6645" max="6645" width="0" style="523" hidden="1" customWidth="1"/>
    <col min="6646" max="6646" width="11.42578125" style="523" customWidth="1"/>
    <col min="6647" max="6649" width="0" style="523" hidden="1" customWidth="1"/>
    <col min="6650" max="6650" width="19" style="523" customWidth="1"/>
    <col min="6651" max="6651" width="17.28515625" style="523" customWidth="1"/>
    <col min="6652" max="6652" width="19.7109375" style="523" customWidth="1"/>
    <col min="6653" max="6653" width="20.7109375" style="523" customWidth="1"/>
    <col min="6654" max="6654" width="13.140625" style="523" bestFit="1" customWidth="1"/>
    <col min="6655" max="6655" width="21.5703125" style="523" customWidth="1"/>
    <col min="6656" max="6656" width="16" style="523" bestFit="1" customWidth="1"/>
    <col min="6657" max="6657" width="13.140625" style="523" bestFit="1" customWidth="1"/>
    <col min="6658" max="6658" width="38.28515625" style="523" bestFit="1" customWidth="1"/>
    <col min="6659" max="6659" width="1.28515625" style="523" customWidth="1"/>
    <col min="6660" max="6660" width="0" style="523" hidden="1" customWidth="1"/>
    <col min="6661" max="6885" width="11.42578125" style="523"/>
    <col min="6886" max="6886" width="1.42578125" style="523" customWidth="1"/>
    <col min="6887" max="6887" width="7.5703125" style="523" customWidth="1"/>
    <col min="6888" max="6888" width="4.85546875" style="523" customWidth="1"/>
    <col min="6889" max="6889" width="8" style="523" customWidth="1"/>
    <col min="6890" max="6890" width="8.140625" style="523" customWidth="1"/>
    <col min="6891" max="6891" width="7.28515625" style="523" customWidth="1"/>
    <col min="6892" max="6892" width="20.7109375" style="523" customWidth="1"/>
    <col min="6893" max="6893" width="15" style="523" customWidth="1"/>
    <col min="6894" max="6894" width="0.140625" style="523" customWidth="1"/>
    <col min="6895" max="6895" width="0" style="523" hidden="1" customWidth="1"/>
    <col min="6896" max="6896" width="78.85546875" style="523" customWidth="1"/>
    <col min="6897" max="6897" width="14.140625" style="523" customWidth="1"/>
    <col min="6898" max="6898" width="0.28515625" style="523" customWidth="1"/>
    <col min="6899" max="6899" width="11.7109375" style="523" customWidth="1"/>
    <col min="6900" max="6900" width="8.7109375" style="523" customWidth="1"/>
    <col min="6901" max="6901" width="0" style="523" hidden="1" customWidth="1"/>
    <col min="6902" max="6902" width="11.42578125" style="523" customWidth="1"/>
    <col min="6903" max="6905" width="0" style="523" hidden="1" customWidth="1"/>
    <col min="6906" max="6906" width="19" style="523" customWidth="1"/>
    <col min="6907" max="6907" width="17.28515625" style="523" customWidth="1"/>
    <col min="6908" max="6908" width="19.7109375" style="523" customWidth="1"/>
    <col min="6909" max="6909" width="20.7109375" style="523" customWidth="1"/>
    <col min="6910" max="6910" width="13.140625" style="523" bestFit="1" customWidth="1"/>
    <col min="6911" max="6911" width="21.5703125" style="523" customWidth="1"/>
    <col min="6912" max="6912" width="16" style="523" bestFit="1" customWidth="1"/>
    <col min="6913" max="6913" width="13.140625" style="523" bestFit="1" customWidth="1"/>
    <col min="6914" max="6914" width="38.28515625" style="523" bestFit="1" customWidth="1"/>
    <col min="6915" max="6915" width="1.28515625" style="523" customWidth="1"/>
    <col min="6916" max="6916" width="0" style="523" hidden="1" customWidth="1"/>
    <col min="6917" max="7141" width="11.42578125" style="523"/>
    <col min="7142" max="7142" width="1.42578125" style="523" customWidth="1"/>
    <col min="7143" max="7143" width="7.5703125" style="523" customWidth="1"/>
    <col min="7144" max="7144" width="4.85546875" style="523" customWidth="1"/>
    <col min="7145" max="7145" width="8" style="523" customWidth="1"/>
    <col min="7146" max="7146" width="8.140625" style="523" customWidth="1"/>
    <col min="7147" max="7147" width="7.28515625" style="523" customWidth="1"/>
    <col min="7148" max="7148" width="20.7109375" style="523" customWidth="1"/>
    <col min="7149" max="7149" width="15" style="523" customWidth="1"/>
    <col min="7150" max="7150" width="0.140625" style="523" customWidth="1"/>
    <col min="7151" max="7151" width="0" style="523" hidden="1" customWidth="1"/>
    <col min="7152" max="7152" width="78.85546875" style="523" customWidth="1"/>
    <col min="7153" max="7153" width="14.140625" style="523" customWidth="1"/>
    <col min="7154" max="7154" width="0.28515625" style="523" customWidth="1"/>
    <col min="7155" max="7155" width="11.7109375" style="523" customWidth="1"/>
    <col min="7156" max="7156" width="8.7109375" style="523" customWidth="1"/>
    <col min="7157" max="7157" width="0" style="523" hidden="1" customWidth="1"/>
    <col min="7158" max="7158" width="11.42578125" style="523" customWidth="1"/>
    <col min="7159" max="7161" width="0" style="523" hidden="1" customWidth="1"/>
    <col min="7162" max="7162" width="19" style="523" customWidth="1"/>
    <col min="7163" max="7163" width="17.28515625" style="523" customWidth="1"/>
    <col min="7164" max="7164" width="19.7109375" style="523" customWidth="1"/>
    <col min="7165" max="7165" width="20.7109375" style="523" customWidth="1"/>
    <col min="7166" max="7166" width="13.140625" style="523" bestFit="1" customWidth="1"/>
    <col min="7167" max="7167" width="21.5703125" style="523" customWidth="1"/>
    <col min="7168" max="7168" width="16" style="523" bestFit="1" customWidth="1"/>
    <col min="7169" max="7169" width="13.140625" style="523" bestFit="1" customWidth="1"/>
    <col min="7170" max="7170" width="38.28515625" style="523" bestFit="1" customWidth="1"/>
    <col min="7171" max="7171" width="1.28515625" style="523" customWidth="1"/>
    <col min="7172" max="7172" width="0" style="523" hidden="1" customWidth="1"/>
    <col min="7173" max="7397" width="11.42578125" style="523"/>
    <col min="7398" max="7398" width="1.42578125" style="523" customWidth="1"/>
    <col min="7399" max="7399" width="7.5703125" style="523" customWidth="1"/>
    <col min="7400" max="7400" width="4.85546875" style="523" customWidth="1"/>
    <col min="7401" max="7401" width="8" style="523" customWidth="1"/>
    <col min="7402" max="7402" width="8.140625" style="523" customWidth="1"/>
    <col min="7403" max="7403" width="7.28515625" style="523" customWidth="1"/>
    <col min="7404" max="7404" width="20.7109375" style="523" customWidth="1"/>
    <col min="7405" max="7405" width="15" style="523" customWidth="1"/>
    <col min="7406" max="7406" width="0.140625" style="523" customWidth="1"/>
    <col min="7407" max="7407" width="0" style="523" hidden="1" customWidth="1"/>
    <col min="7408" max="7408" width="78.85546875" style="523" customWidth="1"/>
    <col min="7409" max="7409" width="14.140625" style="523" customWidth="1"/>
    <col min="7410" max="7410" width="0.28515625" style="523" customWidth="1"/>
    <col min="7411" max="7411" width="11.7109375" style="523" customWidth="1"/>
    <col min="7412" max="7412" width="8.7109375" style="523" customWidth="1"/>
    <col min="7413" max="7413" width="0" style="523" hidden="1" customWidth="1"/>
    <col min="7414" max="7414" width="11.42578125" style="523" customWidth="1"/>
    <col min="7415" max="7417" width="0" style="523" hidden="1" customWidth="1"/>
    <col min="7418" max="7418" width="19" style="523" customWidth="1"/>
    <col min="7419" max="7419" width="17.28515625" style="523" customWidth="1"/>
    <col min="7420" max="7420" width="19.7109375" style="523" customWidth="1"/>
    <col min="7421" max="7421" width="20.7109375" style="523" customWidth="1"/>
    <col min="7422" max="7422" width="13.140625" style="523" bestFit="1" customWidth="1"/>
    <col min="7423" max="7423" width="21.5703125" style="523" customWidth="1"/>
    <col min="7424" max="7424" width="16" style="523" bestFit="1" customWidth="1"/>
    <col min="7425" max="7425" width="13.140625" style="523" bestFit="1" customWidth="1"/>
    <col min="7426" max="7426" width="38.28515625" style="523" bestFit="1" customWidth="1"/>
    <col min="7427" max="7427" width="1.28515625" style="523" customWidth="1"/>
    <col min="7428" max="7428" width="0" style="523" hidden="1" customWidth="1"/>
    <col min="7429" max="7653" width="11.42578125" style="523"/>
    <col min="7654" max="7654" width="1.42578125" style="523" customWidth="1"/>
    <col min="7655" max="7655" width="7.5703125" style="523" customWidth="1"/>
    <col min="7656" max="7656" width="4.85546875" style="523" customWidth="1"/>
    <col min="7657" max="7657" width="8" style="523" customWidth="1"/>
    <col min="7658" max="7658" width="8.140625" style="523" customWidth="1"/>
    <col min="7659" max="7659" width="7.28515625" style="523" customWidth="1"/>
    <col min="7660" max="7660" width="20.7109375" style="523" customWidth="1"/>
    <col min="7661" max="7661" width="15" style="523" customWidth="1"/>
    <col min="7662" max="7662" width="0.140625" style="523" customWidth="1"/>
    <col min="7663" max="7663" width="0" style="523" hidden="1" customWidth="1"/>
    <col min="7664" max="7664" width="78.85546875" style="523" customWidth="1"/>
    <col min="7665" max="7665" width="14.140625" style="523" customWidth="1"/>
    <col min="7666" max="7666" width="0.28515625" style="523" customWidth="1"/>
    <col min="7667" max="7667" width="11.7109375" style="523" customWidth="1"/>
    <col min="7668" max="7668" width="8.7109375" style="523" customWidth="1"/>
    <col min="7669" max="7669" width="0" style="523" hidden="1" customWidth="1"/>
    <col min="7670" max="7670" width="11.42578125" style="523" customWidth="1"/>
    <col min="7671" max="7673" width="0" style="523" hidden="1" customWidth="1"/>
    <col min="7674" max="7674" width="19" style="523" customWidth="1"/>
    <col min="7675" max="7675" width="17.28515625" style="523" customWidth="1"/>
    <col min="7676" max="7676" width="19.7109375" style="523" customWidth="1"/>
    <col min="7677" max="7677" width="20.7109375" style="523" customWidth="1"/>
    <col min="7678" max="7678" width="13.140625" style="523" bestFit="1" customWidth="1"/>
    <col min="7679" max="7679" width="21.5703125" style="523" customWidth="1"/>
    <col min="7680" max="7680" width="16" style="523" bestFit="1" customWidth="1"/>
    <col min="7681" max="7681" width="13.140625" style="523" bestFit="1" customWidth="1"/>
    <col min="7682" max="7682" width="38.28515625" style="523" bestFit="1" customWidth="1"/>
    <col min="7683" max="7683" width="1.28515625" style="523" customWidth="1"/>
    <col min="7684" max="7684" width="0" style="523" hidden="1" customWidth="1"/>
    <col min="7685" max="7909" width="11.42578125" style="523"/>
    <col min="7910" max="7910" width="1.42578125" style="523" customWidth="1"/>
    <col min="7911" max="7911" width="7.5703125" style="523" customWidth="1"/>
    <col min="7912" max="7912" width="4.85546875" style="523" customWidth="1"/>
    <col min="7913" max="7913" width="8" style="523" customWidth="1"/>
    <col min="7914" max="7914" width="8.140625" style="523" customWidth="1"/>
    <col min="7915" max="7915" width="7.28515625" style="523" customWidth="1"/>
    <col min="7916" max="7916" width="20.7109375" style="523" customWidth="1"/>
    <col min="7917" max="7917" width="15" style="523" customWidth="1"/>
    <col min="7918" max="7918" width="0.140625" style="523" customWidth="1"/>
    <col min="7919" max="7919" width="0" style="523" hidden="1" customWidth="1"/>
    <col min="7920" max="7920" width="78.85546875" style="523" customWidth="1"/>
    <col min="7921" max="7921" width="14.140625" style="523" customWidth="1"/>
    <col min="7922" max="7922" width="0.28515625" style="523" customWidth="1"/>
    <col min="7923" max="7923" width="11.7109375" style="523" customWidth="1"/>
    <col min="7924" max="7924" width="8.7109375" style="523" customWidth="1"/>
    <col min="7925" max="7925" width="0" style="523" hidden="1" customWidth="1"/>
    <col min="7926" max="7926" width="11.42578125" style="523" customWidth="1"/>
    <col min="7927" max="7929" width="0" style="523" hidden="1" customWidth="1"/>
    <col min="7930" max="7930" width="19" style="523" customWidth="1"/>
    <col min="7931" max="7931" width="17.28515625" style="523" customWidth="1"/>
    <col min="7932" max="7932" width="19.7109375" style="523" customWidth="1"/>
    <col min="7933" max="7933" width="20.7109375" style="523" customWidth="1"/>
    <col min="7934" max="7934" width="13.140625" style="523" bestFit="1" customWidth="1"/>
    <col min="7935" max="7935" width="21.5703125" style="523" customWidth="1"/>
    <col min="7936" max="7936" width="16" style="523" bestFit="1" customWidth="1"/>
    <col min="7937" max="7937" width="13.140625" style="523" bestFit="1" customWidth="1"/>
    <col min="7938" max="7938" width="38.28515625" style="523" bestFit="1" customWidth="1"/>
    <col min="7939" max="7939" width="1.28515625" style="523" customWidth="1"/>
    <col min="7940" max="7940" width="0" style="523" hidden="1" customWidth="1"/>
    <col min="7941" max="8165" width="11.42578125" style="523"/>
    <col min="8166" max="8166" width="1.42578125" style="523" customWidth="1"/>
    <col min="8167" max="8167" width="7.5703125" style="523" customWidth="1"/>
    <col min="8168" max="8168" width="4.85546875" style="523" customWidth="1"/>
    <col min="8169" max="8169" width="8" style="523" customWidth="1"/>
    <col min="8170" max="8170" width="8.140625" style="523" customWidth="1"/>
    <col min="8171" max="8171" width="7.28515625" style="523" customWidth="1"/>
    <col min="8172" max="8172" width="20.7109375" style="523" customWidth="1"/>
    <col min="8173" max="8173" width="15" style="523" customWidth="1"/>
    <col min="8174" max="8174" width="0.140625" style="523" customWidth="1"/>
    <col min="8175" max="8175" width="0" style="523" hidden="1" customWidth="1"/>
    <col min="8176" max="8176" width="78.85546875" style="523" customWidth="1"/>
    <col min="8177" max="8177" width="14.140625" style="523" customWidth="1"/>
    <col min="8178" max="8178" width="0.28515625" style="523" customWidth="1"/>
    <col min="8179" max="8179" width="11.7109375" style="523" customWidth="1"/>
    <col min="8180" max="8180" width="8.7109375" style="523" customWidth="1"/>
    <col min="8181" max="8181" width="0" style="523" hidden="1" customWidth="1"/>
    <col min="8182" max="8182" width="11.42578125" style="523" customWidth="1"/>
    <col min="8183" max="8185" width="0" style="523" hidden="1" customWidth="1"/>
    <col min="8186" max="8186" width="19" style="523" customWidth="1"/>
    <col min="8187" max="8187" width="17.28515625" style="523" customWidth="1"/>
    <col min="8188" max="8188" width="19.7109375" style="523" customWidth="1"/>
    <col min="8189" max="8189" width="20.7109375" style="523" customWidth="1"/>
    <col min="8190" max="8190" width="13.140625" style="523" bestFit="1" customWidth="1"/>
    <col min="8191" max="8191" width="21.5703125" style="523" customWidth="1"/>
    <col min="8192" max="8192" width="16" style="523" bestFit="1" customWidth="1"/>
    <col min="8193" max="8193" width="13.140625" style="523" bestFit="1" customWidth="1"/>
    <col min="8194" max="8194" width="38.28515625" style="523" bestFit="1" customWidth="1"/>
    <col min="8195" max="8195" width="1.28515625" style="523" customWidth="1"/>
    <col min="8196" max="8196" width="0" style="523" hidden="1" customWidth="1"/>
    <col min="8197" max="8421" width="11.42578125" style="523"/>
    <col min="8422" max="8422" width="1.42578125" style="523" customWidth="1"/>
    <col min="8423" max="8423" width="7.5703125" style="523" customWidth="1"/>
    <col min="8424" max="8424" width="4.85546875" style="523" customWidth="1"/>
    <col min="8425" max="8425" width="8" style="523" customWidth="1"/>
    <col min="8426" max="8426" width="8.140625" style="523" customWidth="1"/>
    <col min="8427" max="8427" width="7.28515625" style="523" customWidth="1"/>
    <col min="8428" max="8428" width="20.7109375" style="523" customWidth="1"/>
    <col min="8429" max="8429" width="15" style="523" customWidth="1"/>
    <col min="8430" max="8430" width="0.140625" style="523" customWidth="1"/>
    <col min="8431" max="8431" width="0" style="523" hidden="1" customWidth="1"/>
    <col min="8432" max="8432" width="78.85546875" style="523" customWidth="1"/>
    <col min="8433" max="8433" width="14.140625" style="523" customWidth="1"/>
    <col min="8434" max="8434" width="0.28515625" style="523" customWidth="1"/>
    <col min="8435" max="8435" width="11.7109375" style="523" customWidth="1"/>
    <col min="8436" max="8436" width="8.7109375" style="523" customWidth="1"/>
    <col min="8437" max="8437" width="0" style="523" hidden="1" customWidth="1"/>
    <col min="8438" max="8438" width="11.42578125" style="523" customWidth="1"/>
    <col min="8439" max="8441" width="0" style="523" hidden="1" customWidth="1"/>
    <col min="8442" max="8442" width="19" style="523" customWidth="1"/>
    <col min="8443" max="8443" width="17.28515625" style="523" customWidth="1"/>
    <col min="8444" max="8444" width="19.7109375" style="523" customWidth="1"/>
    <col min="8445" max="8445" width="20.7109375" style="523" customWidth="1"/>
    <col min="8446" max="8446" width="13.140625" style="523" bestFit="1" customWidth="1"/>
    <col min="8447" max="8447" width="21.5703125" style="523" customWidth="1"/>
    <col min="8448" max="8448" width="16" style="523" bestFit="1" customWidth="1"/>
    <col min="8449" max="8449" width="13.140625" style="523" bestFit="1" customWidth="1"/>
    <col min="8450" max="8450" width="38.28515625" style="523" bestFit="1" customWidth="1"/>
    <col min="8451" max="8451" width="1.28515625" style="523" customWidth="1"/>
    <col min="8452" max="8452" width="0" style="523" hidden="1" customWidth="1"/>
    <col min="8453" max="8677" width="11.42578125" style="523"/>
    <col min="8678" max="8678" width="1.42578125" style="523" customWidth="1"/>
    <col min="8679" max="8679" width="7.5703125" style="523" customWidth="1"/>
    <col min="8680" max="8680" width="4.85546875" style="523" customWidth="1"/>
    <col min="8681" max="8681" width="8" style="523" customWidth="1"/>
    <col min="8682" max="8682" width="8.140625" style="523" customWidth="1"/>
    <col min="8683" max="8683" width="7.28515625" style="523" customWidth="1"/>
    <col min="8684" max="8684" width="20.7109375" style="523" customWidth="1"/>
    <col min="8685" max="8685" width="15" style="523" customWidth="1"/>
    <col min="8686" max="8686" width="0.140625" style="523" customWidth="1"/>
    <col min="8687" max="8687" width="0" style="523" hidden="1" customWidth="1"/>
    <col min="8688" max="8688" width="78.85546875" style="523" customWidth="1"/>
    <col min="8689" max="8689" width="14.140625" style="523" customWidth="1"/>
    <col min="8690" max="8690" width="0.28515625" style="523" customWidth="1"/>
    <col min="8691" max="8691" width="11.7109375" style="523" customWidth="1"/>
    <col min="8692" max="8692" width="8.7109375" style="523" customWidth="1"/>
    <col min="8693" max="8693" width="0" style="523" hidden="1" customWidth="1"/>
    <col min="8694" max="8694" width="11.42578125" style="523" customWidth="1"/>
    <col min="8695" max="8697" width="0" style="523" hidden="1" customWidth="1"/>
    <col min="8698" max="8698" width="19" style="523" customWidth="1"/>
    <col min="8699" max="8699" width="17.28515625" style="523" customWidth="1"/>
    <col min="8700" max="8700" width="19.7109375" style="523" customWidth="1"/>
    <col min="8701" max="8701" width="20.7109375" style="523" customWidth="1"/>
    <col min="8702" max="8702" width="13.140625" style="523" bestFit="1" customWidth="1"/>
    <col min="8703" max="8703" width="21.5703125" style="523" customWidth="1"/>
    <col min="8704" max="8704" width="16" style="523" bestFit="1" customWidth="1"/>
    <col min="8705" max="8705" width="13.140625" style="523" bestFit="1" customWidth="1"/>
    <col min="8706" max="8706" width="38.28515625" style="523" bestFit="1" customWidth="1"/>
    <col min="8707" max="8707" width="1.28515625" style="523" customWidth="1"/>
    <col min="8708" max="8708" width="0" style="523" hidden="1" customWidth="1"/>
    <col min="8709" max="8933" width="11.42578125" style="523"/>
    <col min="8934" max="8934" width="1.42578125" style="523" customWidth="1"/>
    <col min="8935" max="8935" width="7.5703125" style="523" customWidth="1"/>
    <col min="8936" max="8936" width="4.85546875" style="523" customWidth="1"/>
    <col min="8937" max="8937" width="8" style="523" customWidth="1"/>
    <col min="8938" max="8938" width="8.140625" style="523" customWidth="1"/>
    <col min="8939" max="8939" width="7.28515625" style="523" customWidth="1"/>
    <col min="8940" max="8940" width="20.7109375" style="523" customWidth="1"/>
    <col min="8941" max="8941" width="15" style="523" customWidth="1"/>
    <col min="8942" max="8942" width="0.140625" style="523" customWidth="1"/>
    <col min="8943" max="8943" width="0" style="523" hidden="1" customWidth="1"/>
    <col min="8944" max="8944" width="78.85546875" style="523" customWidth="1"/>
    <col min="8945" max="8945" width="14.140625" style="523" customWidth="1"/>
    <col min="8946" max="8946" width="0.28515625" style="523" customWidth="1"/>
    <col min="8947" max="8947" width="11.7109375" style="523" customWidth="1"/>
    <col min="8948" max="8948" width="8.7109375" style="523" customWidth="1"/>
    <col min="8949" max="8949" width="0" style="523" hidden="1" customWidth="1"/>
    <col min="8950" max="8950" width="11.42578125" style="523" customWidth="1"/>
    <col min="8951" max="8953" width="0" style="523" hidden="1" customWidth="1"/>
    <col min="8954" max="8954" width="19" style="523" customWidth="1"/>
    <col min="8955" max="8955" width="17.28515625" style="523" customWidth="1"/>
    <col min="8956" max="8956" width="19.7109375" style="523" customWidth="1"/>
    <col min="8957" max="8957" width="20.7109375" style="523" customWidth="1"/>
    <col min="8958" max="8958" width="13.140625" style="523" bestFit="1" customWidth="1"/>
    <col min="8959" max="8959" width="21.5703125" style="523" customWidth="1"/>
    <col min="8960" max="8960" width="16" style="523" bestFit="1" customWidth="1"/>
    <col min="8961" max="8961" width="13.140625" style="523" bestFit="1" customWidth="1"/>
    <col min="8962" max="8962" width="38.28515625" style="523" bestFit="1" customWidth="1"/>
    <col min="8963" max="8963" width="1.28515625" style="523" customWidth="1"/>
    <col min="8964" max="8964" width="0" style="523" hidden="1" customWidth="1"/>
    <col min="8965" max="9189" width="11.42578125" style="523"/>
    <col min="9190" max="9190" width="1.42578125" style="523" customWidth="1"/>
    <col min="9191" max="9191" width="7.5703125" style="523" customWidth="1"/>
    <col min="9192" max="9192" width="4.85546875" style="523" customWidth="1"/>
    <col min="9193" max="9193" width="8" style="523" customWidth="1"/>
    <col min="9194" max="9194" width="8.140625" style="523" customWidth="1"/>
    <col min="9195" max="9195" width="7.28515625" style="523" customWidth="1"/>
    <col min="9196" max="9196" width="20.7109375" style="523" customWidth="1"/>
    <col min="9197" max="9197" width="15" style="523" customWidth="1"/>
    <col min="9198" max="9198" width="0.140625" style="523" customWidth="1"/>
    <col min="9199" max="9199" width="0" style="523" hidden="1" customWidth="1"/>
    <col min="9200" max="9200" width="78.85546875" style="523" customWidth="1"/>
    <col min="9201" max="9201" width="14.140625" style="523" customWidth="1"/>
    <col min="9202" max="9202" width="0.28515625" style="523" customWidth="1"/>
    <col min="9203" max="9203" width="11.7109375" style="523" customWidth="1"/>
    <col min="9204" max="9204" width="8.7109375" style="523" customWidth="1"/>
    <col min="9205" max="9205" width="0" style="523" hidden="1" customWidth="1"/>
    <col min="9206" max="9206" width="11.42578125" style="523" customWidth="1"/>
    <col min="9207" max="9209" width="0" style="523" hidden="1" customWidth="1"/>
    <col min="9210" max="9210" width="19" style="523" customWidth="1"/>
    <col min="9211" max="9211" width="17.28515625" style="523" customWidth="1"/>
    <col min="9212" max="9212" width="19.7109375" style="523" customWidth="1"/>
    <col min="9213" max="9213" width="20.7109375" style="523" customWidth="1"/>
    <col min="9214" max="9214" width="13.140625" style="523" bestFit="1" customWidth="1"/>
    <col min="9215" max="9215" width="21.5703125" style="523" customWidth="1"/>
    <col min="9216" max="9216" width="16" style="523" bestFit="1" customWidth="1"/>
    <col min="9217" max="9217" width="13.140625" style="523" bestFit="1" customWidth="1"/>
    <col min="9218" max="9218" width="38.28515625" style="523" bestFit="1" customWidth="1"/>
    <col min="9219" max="9219" width="1.28515625" style="523" customWidth="1"/>
    <col min="9220" max="9220" width="0" style="523" hidden="1" customWidth="1"/>
    <col min="9221" max="9445" width="11.42578125" style="523"/>
    <col min="9446" max="9446" width="1.42578125" style="523" customWidth="1"/>
    <col min="9447" max="9447" width="7.5703125" style="523" customWidth="1"/>
    <col min="9448" max="9448" width="4.85546875" style="523" customWidth="1"/>
    <col min="9449" max="9449" width="8" style="523" customWidth="1"/>
    <col min="9450" max="9450" width="8.140625" style="523" customWidth="1"/>
    <col min="9451" max="9451" width="7.28515625" style="523" customWidth="1"/>
    <col min="9452" max="9452" width="20.7109375" style="523" customWidth="1"/>
    <col min="9453" max="9453" width="15" style="523" customWidth="1"/>
    <col min="9454" max="9454" width="0.140625" style="523" customWidth="1"/>
    <col min="9455" max="9455" width="0" style="523" hidden="1" customWidth="1"/>
    <col min="9456" max="9456" width="78.85546875" style="523" customWidth="1"/>
    <col min="9457" max="9457" width="14.140625" style="523" customWidth="1"/>
    <col min="9458" max="9458" width="0.28515625" style="523" customWidth="1"/>
    <col min="9459" max="9459" width="11.7109375" style="523" customWidth="1"/>
    <col min="9460" max="9460" width="8.7109375" style="523" customWidth="1"/>
    <col min="9461" max="9461" width="0" style="523" hidden="1" customWidth="1"/>
    <col min="9462" max="9462" width="11.42578125" style="523" customWidth="1"/>
    <col min="9463" max="9465" width="0" style="523" hidden="1" customWidth="1"/>
    <col min="9466" max="9466" width="19" style="523" customWidth="1"/>
    <col min="9467" max="9467" width="17.28515625" style="523" customWidth="1"/>
    <col min="9468" max="9468" width="19.7109375" style="523" customWidth="1"/>
    <col min="9469" max="9469" width="20.7109375" style="523" customWidth="1"/>
    <col min="9470" max="9470" width="13.140625" style="523" bestFit="1" customWidth="1"/>
    <col min="9471" max="9471" width="21.5703125" style="523" customWidth="1"/>
    <col min="9472" max="9472" width="16" style="523" bestFit="1" customWidth="1"/>
    <col min="9473" max="9473" width="13.140625" style="523" bestFit="1" customWidth="1"/>
    <col min="9474" max="9474" width="38.28515625" style="523" bestFit="1" customWidth="1"/>
    <col min="9475" max="9475" width="1.28515625" style="523" customWidth="1"/>
    <col min="9476" max="9476" width="0" style="523" hidden="1" customWidth="1"/>
    <col min="9477" max="9701" width="11.42578125" style="523"/>
    <col min="9702" max="9702" width="1.42578125" style="523" customWidth="1"/>
    <col min="9703" max="9703" width="7.5703125" style="523" customWidth="1"/>
    <col min="9704" max="9704" width="4.85546875" style="523" customWidth="1"/>
    <col min="9705" max="9705" width="8" style="523" customWidth="1"/>
    <col min="9706" max="9706" width="8.140625" style="523" customWidth="1"/>
    <col min="9707" max="9707" width="7.28515625" style="523" customWidth="1"/>
    <col min="9708" max="9708" width="20.7109375" style="523" customWidth="1"/>
    <col min="9709" max="9709" width="15" style="523" customWidth="1"/>
    <col min="9710" max="9710" width="0.140625" style="523" customWidth="1"/>
    <col min="9711" max="9711" width="0" style="523" hidden="1" customWidth="1"/>
    <col min="9712" max="9712" width="78.85546875" style="523" customWidth="1"/>
    <col min="9713" max="9713" width="14.140625" style="523" customWidth="1"/>
    <col min="9714" max="9714" width="0.28515625" style="523" customWidth="1"/>
    <col min="9715" max="9715" width="11.7109375" style="523" customWidth="1"/>
    <col min="9716" max="9716" width="8.7109375" style="523" customWidth="1"/>
    <col min="9717" max="9717" width="0" style="523" hidden="1" customWidth="1"/>
    <col min="9718" max="9718" width="11.42578125" style="523" customWidth="1"/>
    <col min="9719" max="9721" width="0" style="523" hidden="1" customWidth="1"/>
    <col min="9722" max="9722" width="19" style="523" customWidth="1"/>
    <col min="9723" max="9723" width="17.28515625" style="523" customWidth="1"/>
    <col min="9724" max="9724" width="19.7109375" style="523" customWidth="1"/>
    <col min="9725" max="9725" width="20.7109375" style="523" customWidth="1"/>
    <col min="9726" max="9726" width="13.140625" style="523" bestFit="1" customWidth="1"/>
    <col min="9727" max="9727" width="21.5703125" style="523" customWidth="1"/>
    <col min="9728" max="9728" width="16" style="523" bestFit="1" customWidth="1"/>
    <col min="9729" max="9729" width="13.140625" style="523" bestFit="1" customWidth="1"/>
    <col min="9730" max="9730" width="38.28515625" style="523" bestFit="1" customWidth="1"/>
    <col min="9731" max="9731" width="1.28515625" style="523" customWidth="1"/>
    <col min="9732" max="9732" width="0" style="523" hidden="1" customWidth="1"/>
    <col min="9733" max="9957" width="11.42578125" style="523"/>
    <col min="9958" max="9958" width="1.42578125" style="523" customWidth="1"/>
    <col min="9959" max="9959" width="7.5703125" style="523" customWidth="1"/>
    <col min="9960" max="9960" width="4.85546875" style="523" customWidth="1"/>
    <col min="9961" max="9961" width="8" style="523" customWidth="1"/>
    <col min="9962" max="9962" width="8.140625" style="523" customWidth="1"/>
    <col min="9963" max="9963" width="7.28515625" style="523" customWidth="1"/>
    <col min="9964" max="9964" width="20.7109375" style="523" customWidth="1"/>
    <col min="9965" max="9965" width="15" style="523" customWidth="1"/>
    <col min="9966" max="9966" width="0.140625" style="523" customWidth="1"/>
    <col min="9967" max="9967" width="0" style="523" hidden="1" customWidth="1"/>
    <col min="9968" max="9968" width="78.85546875" style="523" customWidth="1"/>
    <col min="9969" max="9969" width="14.140625" style="523" customWidth="1"/>
    <col min="9970" max="9970" width="0.28515625" style="523" customWidth="1"/>
    <col min="9971" max="9971" width="11.7109375" style="523" customWidth="1"/>
    <col min="9972" max="9972" width="8.7109375" style="523" customWidth="1"/>
    <col min="9973" max="9973" width="0" style="523" hidden="1" customWidth="1"/>
    <col min="9974" max="9974" width="11.42578125" style="523" customWidth="1"/>
    <col min="9975" max="9977" width="0" style="523" hidden="1" customWidth="1"/>
    <col min="9978" max="9978" width="19" style="523" customWidth="1"/>
    <col min="9979" max="9979" width="17.28515625" style="523" customWidth="1"/>
    <col min="9980" max="9980" width="19.7109375" style="523" customWidth="1"/>
    <col min="9981" max="9981" width="20.7109375" style="523" customWidth="1"/>
    <col min="9982" max="9982" width="13.140625" style="523" bestFit="1" customWidth="1"/>
    <col min="9983" max="9983" width="21.5703125" style="523" customWidth="1"/>
    <col min="9984" max="9984" width="16" style="523" bestFit="1" customWidth="1"/>
    <col min="9985" max="9985" width="13.140625" style="523" bestFit="1" customWidth="1"/>
    <col min="9986" max="9986" width="38.28515625" style="523" bestFit="1" customWidth="1"/>
    <col min="9987" max="9987" width="1.28515625" style="523" customWidth="1"/>
    <col min="9988" max="9988" width="0" style="523" hidden="1" customWidth="1"/>
    <col min="9989" max="10213" width="11.42578125" style="523"/>
    <col min="10214" max="10214" width="1.42578125" style="523" customWidth="1"/>
    <col min="10215" max="10215" width="7.5703125" style="523" customWidth="1"/>
    <col min="10216" max="10216" width="4.85546875" style="523" customWidth="1"/>
    <col min="10217" max="10217" width="8" style="523" customWidth="1"/>
    <col min="10218" max="10218" width="8.140625" style="523" customWidth="1"/>
    <col min="10219" max="10219" width="7.28515625" style="523" customWidth="1"/>
    <col min="10220" max="10220" width="20.7109375" style="523" customWidth="1"/>
    <col min="10221" max="10221" width="15" style="523" customWidth="1"/>
    <col min="10222" max="10222" width="0.140625" style="523" customWidth="1"/>
    <col min="10223" max="10223" width="0" style="523" hidden="1" customWidth="1"/>
    <col min="10224" max="10224" width="78.85546875" style="523" customWidth="1"/>
    <col min="10225" max="10225" width="14.140625" style="523" customWidth="1"/>
    <col min="10226" max="10226" width="0.28515625" style="523" customWidth="1"/>
    <col min="10227" max="10227" width="11.7109375" style="523" customWidth="1"/>
    <col min="10228" max="10228" width="8.7109375" style="523" customWidth="1"/>
    <col min="10229" max="10229" width="0" style="523" hidden="1" customWidth="1"/>
    <col min="10230" max="10230" width="11.42578125" style="523" customWidth="1"/>
    <col min="10231" max="10233" width="0" style="523" hidden="1" customWidth="1"/>
    <col min="10234" max="10234" width="19" style="523" customWidth="1"/>
    <col min="10235" max="10235" width="17.28515625" style="523" customWidth="1"/>
    <col min="10236" max="10236" width="19.7109375" style="523" customWidth="1"/>
    <col min="10237" max="10237" width="20.7109375" style="523" customWidth="1"/>
    <col min="10238" max="10238" width="13.140625" style="523" bestFit="1" customWidth="1"/>
    <col min="10239" max="10239" width="21.5703125" style="523" customWidth="1"/>
    <col min="10240" max="10240" width="16" style="523" bestFit="1" customWidth="1"/>
    <col min="10241" max="10241" width="13.140625" style="523" bestFit="1" customWidth="1"/>
    <col min="10242" max="10242" width="38.28515625" style="523" bestFit="1" customWidth="1"/>
    <col min="10243" max="10243" width="1.28515625" style="523" customWidth="1"/>
    <col min="10244" max="10244" width="0" style="523" hidden="1" customWidth="1"/>
    <col min="10245" max="10469" width="11.42578125" style="523"/>
    <col min="10470" max="10470" width="1.42578125" style="523" customWidth="1"/>
    <col min="10471" max="10471" width="7.5703125" style="523" customWidth="1"/>
    <col min="10472" max="10472" width="4.85546875" style="523" customWidth="1"/>
    <col min="10473" max="10473" width="8" style="523" customWidth="1"/>
    <col min="10474" max="10474" width="8.140625" style="523" customWidth="1"/>
    <col min="10475" max="10475" width="7.28515625" style="523" customWidth="1"/>
    <col min="10476" max="10476" width="20.7109375" style="523" customWidth="1"/>
    <col min="10477" max="10477" width="15" style="523" customWidth="1"/>
    <col min="10478" max="10478" width="0.140625" style="523" customWidth="1"/>
    <col min="10479" max="10479" width="0" style="523" hidden="1" customWidth="1"/>
    <col min="10480" max="10480" width="78.85546875" style="523" customWidth="1"/>
    <col min="10481" max="10481" width="14.140625" style="523" customWidth="1"/>
    <col min="10482" max="10482" width="0.28515625" style="523" customWidth="1"/>
    <col min="10483" max="10483" width="11.7109375" style="523" customWidth="1"/>
    <col min="10484" max="10484" width="8.7109375" style="523" customWidth="1"/>
    <col min="10485" max="10485" width="0" style="523" hidden="1" customWidth="1"/>
    <col min="10486" max="10486" width="11.42578125" style="523" customWidth="1"/>
    <col min="10487" max="10489" width="0" style="523" hidden="1" customWidth="1"/>
    <col min="10490" max="10490" width="19" style="523" customWidth="1"/>
    <col min="10491" max="10491" width="17.28515625" style="523" customWidth="1"/>
    <col min="10492" max="10492" width="19.7109375" style="523" customWidth="1"/>
    <col min="10493" max="10493" width="20.7109375" style="523" customWidth="1"/>
    <col min="10494" max="10494" width="13.140625" style="523" bestFit="1" customWidth="1"/>
    <col min="10495" max="10495" width="21.5703125" style="523" customWidth="1"/>
    <col min="10496" max="10496" width="16" style="523" bestFit="1" customWidth="1"/>
    <col min="10497" max="10497" width="13.140625" style="523" bestFit="1" customWidth="1"/>
    <col min="10498" max="10498" width="38.28515625" style="523" bestFit="1" customWidth="1"/>
    <col min="10499" max="10499" width="1.28515625" style="523" customWidth="1"/>
    <col min="10500" max="10500" width="0" style="523" hidden="1" customWidth="1"/>
    <col min="10501" max="10725" width="11.42578125" style="523"/>
    <col min="10726" max="10726" width="1.42578125" style="523" customWidth="1"/>
    <col min="10727" max="10727" width="7.5703125" style="523" customWidth="1"/>
    <col min="10728" max="10728" width="4.85546875" style="523" customWidth="1"/>
    <col min="10729" max="10729" width="8" style="523" customWidth="1"/>
    <col min="10730" max="10730" width="8.140625" style="523" customWidth="1"/>
    <col min="10731" max="10731" width="7.28515625" style="523" customWidth="1"/>
    <col min="10732" max="10732" width="20.7109375" style="523" customWidth="1"/>
    <col min="10733" max="10733" width="15" style="523" customWidth="1"/>
    <col min="10734" max="10734" width="0.140625" style="523" customWidth="1"/>
    <col min="10735" max="10735" width="0" style="523" hidden="1" customWidth="1"/>
    <col min="10736" max="10736" width="78.85546875" style="523" customWidth="1"/>
    <col min="10737" max="10737" width="14.140625" style="523" customWidth="1"/>
    <col min="10738" max="10738" width="0.28515625" style="523" customWidth="1"/>
    <col min="10739" max="10739" width="11.7109375" style="523" customWidth="1"/>
    <col min="10740" max="10740" width="8.7109375" style="523" customWidth="1"/>
    <col min="10741" max="10741" width="0" style="523" hidden="1" customWidth="1"/>
    <col min="10742" max="10742" width="11.42578125" style="523" customWidth="1"/>
    <col min="10743" max="10745" width="0" style="523" hidden="1" customWidth="1"/>
    <col min="10746" max="10746" width="19" style="523" customWidth="1"/>
    <col min="10747" max="10747" width="17.28515625" style="523" customWidth="1"/>
    <col min="10748" max="10748" width="19.7109375" style="523" customWidth="1"/>
    <col min="10749" max="10749" width="20.7109375" style="523" customWidth="1"/>
    <col min="10750" max="10750" width="13.140625" style="523" bestFit="1" customWidth="1"/>
    <col min="10751" max="10751" width="21.5703125" style="523" customWidth="1"/>
    <col min="10752" max="10752" width="16" style="523" bestFit="1" customWidth="1"/>
    <col min="10753" max="10753" width="13.140625" style="523" bestFit="1" customWidth="1"/>
    <col min="10754" max="10754" width="38.28515625" style="523" bestFit="1" customWidth="1"/>
    <col min="10755" max="10755" width="1.28515625" style="523" customWidth="1"/>
    <col min="10756" max="10756" width="0" style="523" hidden="1" customWidth="1"/>
    <col min="10757" max="10981" width="11.42578125" style="523"/>
    <col min="10982" max="10982" width="1.42578125" style="523" customWidth="1"/>
    <col min="10983" max="10983" width="7.5703125" style="523" customWidth="1"/>
    <col min="10984" max="10984" width="4.85546875" style="523" customWidth="1"/>
    <col min="10985" max="10985" width="8" style="523" customWidth="1"/>
    <col min="10986" max="10986" width="8.140625" style="523" customWidth="1"/>
    <col min="10987" max="10987" width="7.28515625" style="523" customWidth="1"/>
    <col min="10988" max="10988" width="20.7109375" style="523" customWidth="1"/>
    <col min="10989" max="10989" width="15" style="523" customWidth="1"/>
    <col min="10990" max="10990" width="0.140625" style="523" customWidth="1"/>
    <col min="10991" max="10991" width="0" style="523" hidden="1" customWidth="1"/>
    <col min="10992" max="10992" width="78.85546875" style="523" customWidth="1"/>
    <col min="10993" max="10993" width="14.140625" style="523" customWidth="1"/>
    <col min="10994" max="10994" width="0.28515625" style="523" customWidth="1"/>
    <col min="10995" max="10995" width="11.7109375" style="523" customWidth="1"/>
    <col min="10996" max="10996" width="8.7109375" style="523" customWidth="1"/>
    <col min="10997" max="10997" width="0" style="523" hidden="1" customWidth="1"/>
    <col min="10998" max="10998" width="11.42578125" style="523" customWidth="1"/>
    <col min="10999" max="11001" width="0" style="523" hidden="1" customWidth="1"/>
    <col min="11002" max="11002" width="19" style="523" customWidth="1"/>
    <col min="11003" max="11003" width="17.28515625" style="523" customWidth="1"/>
    <col min="11004" max="11004" width="19.7109375" style="523" customWidth="1"/>
    <col min="11005" max="11005" width="20.7109375" style="523" customWidth="1"/>
    <col min="11006" max="11006" width="13.140625" style="523" bestFit="1" customWidth="1"/>
    <col min="11007" max="11007" width="21.5703125" style="523" customWidth="1"/>
    <col min="11008" max="11008" width="16" style="523" bestFit="1" customWidth="1"/>
    <col min="11009" max="11009" width="13.140625" style="523" bestFit="1" customWidth="1"/>
    <col min="11010" max="11010" width="38.28515625" style="523" bestFit="1" customWidth="1"/>
    <col min="11011" max="11011" width="1.28515625" style="523" customWidth="1"/>
    <col min="11012" max="11012" width="0" style="523" hidden="1" customWidth="1"/>
    <col min="11013" max="11237" width="11.42578125" style="523"/>
    <col min="11238" max="11238" width="1.42578125" style="523" customWidth="1"/>
    <col min="11239" max="11239" width="7.5703125" style="523" customWidth="1"/>
    <col min="11240" max="11240" width="4.85546875" style="523" customWidth="1"/>
    <col min="11241" max="11241" width="8" style="523" customWidth="1"/>
    <col min="11242" max="11242" width="8.140625" style="523" customWidth="1"/>
    <col min="11243" max="11243" width="7.28515625" style="523" customWidth="1"/>
    <col min="11244" max="11244" width="20.7109375" style="523" customWidth="1"/>
    <col min="11245" max="11245" width="15" style="523" customWidth="1"/>
    <col min="11246" max="11246" width="0.140625" style="523" customWidth="1"/>
    <col min="11247" max="11247" width="0" style="523" hidden="1" customWidth="1"/>
    <col min="11248" max="11248" width="78.85546875" style="523" customWidth="1"/>
    <col min="11249" max="11249" width="14.140625" style="523" customWidth="1"/>
    <col min="11250" max="11250" width="0.28515625" style="523" customWidth="1"/>
    <col min="11251" max="11251" width="11.7109375" style="523" customWidth="1"/>
    <col min="11252" max="11252" width="8.7109375" style="523" customWidth="1"/>
    <col min="11253" max="11253" width="0" style="523" hidden="1" customWidth="1"/>
    <col min="11254" max="11254" width="11.42578125" style="523" customWidth="1"/>
    <col min="11255" max="11257" width="0" style="523" hidden="1" customWidth="1"/>
    <col min="11258" max="11258" width="19" style="523" customWidth="1"/>
    <col min="11259" max="11259" width="17.28515625" style="523" customWidth="1"/>
    <col min="11260" max="11260" width="19.7109375" style="523" customWidth="1"/>
    <col min="11261" max="11261" width="20.7109375" style="523" customWidth="1"/>
    <col min="11262" max="11262" width="13.140625" style="523" bestFit="1" customWidth="1"/>
    <col min="11263" max="11263" width="21.5703125" style="523" customWidth="1"/>
    <col min="11264" max="11264" width="16" style="523" bestFit="1" customWidth="1"/>
    <col min="11265" max="11265" width="13.140625" style="523" bestFit="1" customWidth="1"/>
    <col min="11266" max="11266" width="38.28515625" style="523" bestFit="1" customWidth="1"/>
    <col min="11267" max="11267" width="1.28515625" style="523" customWidth="1"/>
    <col min="11268" max="11268" width="0" style="523" hidden="1" customWidth="1"/>
    <col min="11269" max="11493" width="11.42578125" style="523"/>
    <col min="11494" max="11494" width="1.42578125" style="523" customWidth="1"/>
    <col min="11495" max="11495" width="7.5703125" style="523" customWidth="1"/>
    <col min="11496" max="11496" width="4.85546875" style="523" customWidth="1"/>
    <col min="11497" max="11497" width="8" style="523" customWidth="1"/>
    <col min="11498" max="11498" width="8.140625" style="523" customWidth="1"/>
    <col min="11499" max="11499" width="7.28515625" style="523" customWidth="1"/>
    <col min="11500" max="11500" width="20.7109375" style="523" customWidth="1"/>
    <col min="11501" max="11501" width="15" style="523" customWidth="1"/>
    <col min="11502" max="11502" width="0.140625" style="523" customWidth="1"/>
    <col min="11503" max="11503" width="0" style="523" hidden="1" customWidth="1"/>
    <col min="11504" max="11504" width="78.85546875" style="523" customWidth="1"/>
    <col min="11505" max="11505" width="14.140625" style="523" customWidth="1"/>
    <col min="11506" max="11506" width="0.28515625" style="523" customWidth="1"/>
    <col min="11507" max="11507" width="11.7109375" style="523" customWidth="1"/>
    <col min="11508" max="11508" width="8.7109375" style="523" customWidth="1"/>
    <col min="11509" max="11509" width="0" style="523" hidden="1" customWidth="1"/>
    <col min="11510" max="11510" width="11.42578125" style="523" customWidth="1"/>
    <col min="11511" max="11513" width="0" style="523" hidden="1" customWidth="1"/>
    <col min="11514" max="11514" width="19" style="523" customWidth="1"/>
    <col min="11515" max="11515" width="17.28515625" style="523" customWidth="1"/>
    <col min="11516" max="11516" width="19.7109375" style="523" customWidth="1"/>
    <col min="11517" max="11517" width="20.7109375" style="523" customWidth="1"/>
    <col min="11518" max="11518" width="13.140625" style="523" bestFit="1" customWidth="1"/>
    <col min="11519" max="11519" width="21.5703125" style="523" customWidth="1"/>
    <col min="11520" max="11520" width="16" style="523" bestFit="1" customWidth="1"/>
    <col min="11521" max="11521" width="13.140625" style="523" bestFit="1" customWidth="1"/>
    <col min="11522" max="11522" width="38.28515625" style="523" bestFit="1" customWidth="1"/>
    <col min="11523" max="11523" width="1.28515625" style="523" customWidth="1"/>
    <col min="11524" max="11524" width="0" style="523" hidden="1" customWidth="1"/>
    <col min="11525" max="11749" width="11.42578125" style="523"/>
    <col min="11750" max="11750" width="1.42578125" style="523" customWidth="1"/>
    <col min="11751" max="11751" width="7.5703125" style="523" customWidth="1"/>
    <col min="11752" max="11752" width="4.85546875" style="523" customWidth="1"/>
    <col min="11753" max="11753" width="8" style="523" customWidth="1"/>
    <col min="11754" max="11754" width="8.140625" style="523" customWidth="1"/>
    <col min="11755" max="11755" width="7.28515625" style="523" customWidth="1"/>
    <col min="11756" max="11756" width="20.7109375" style="523" customWidth="1"/>
    <col min="11757" max="11757" width="15" style="523" customWidth="1"/>
    <col min="11758" max="11758" width="0.140625" style="523" customWidth="1"/>
    <col min="11759" max="11759" width="0" style="523" hidden="1" customWidth="1"/>
    <col min="11760" max="11760" width="78.85546875" style="523" customWidth="1"/>
    <col min="11761" max="11761" width="14.140625" style="523" customWidth="1"/>
    <col min="11762" max="11762" width="0.28515625" style="523" customWidth="1"/>
    <col min="11763" max="11763" width="11.7109375" style="523" customWidth="1"/>
    <col min="11764" max="11764" width="8.7109375" style="523" customWidth="1"/>
    <col min="11765" max="11765" width="0" style="523" hidden="1" customWidth="1"/>
    <col min="11766" max="11766" width="11.42578125" style="523" customWidth="1"/>
    <col min="11767" max="11769" width="0" style="523" hidden="1" customWidth="1"/>
    <col min="11770" max="11770" width="19" style="523" customWidth="1"/>
    <col min="11771" max="11771" width="17.28515625" style="523" customWidth="1"/>
    <col min="11772" max="11772" width="19.7109375" style="523" customWidth="1"/>
    <col min="11773" max="11773" width="20.7109375" style="523" customWidth="1"/>
    <col min="11774" max="11774" width="13.140625" style="523" bestFit="1" customWidth="1"/>
    <col min="11775" max="11775" width="21.5703125" style="523" customWidth="1"/>
    <col min="11776" max="11776" width="16" style="523" bestFit="1" customWidth="1"/>
    <col min="11777" max="11777" width="13.140625" style="523" bestFit="1" customWidth="1"/>
    <col min="11778" max="11778" width="38.28515625" style="523" bestFit="1" customWidth="1"/>
    <col min="11779" max="11779" width="1.28515625" style="523" customWidth="1"/>
    <col min="11780" max="11780" width="0" style="523" hidden="1" customWidth="1"/>
    <col min="11781" max="12005" width="11.42578125" style="523"/>
    <col min="12006" max="12006" width="1.42578125" style="523" customWidth="1"/>
    <col min="12007" max="12007" width="7.5703125" style="523" customWidth="1"/>
    <col min="12008" max="12008" width="4.85546875" style="523" customWidth="1"/>
    <col min="12009" max="12009" width="8" style="523" customWidth="1"/>
    <col min="12010" max="12010" width="8.140625" style="523" customWidth="1"/>
    <col min="12011" max="12011" width="7.28515625" style="523" customWidth="1"/>
    <col min="12012" max="12012" width="20.7109375" style="523" customWidth="1"/>
    <col min="12013" max="12013" width="15" style="523" customWidth="1"/>
    <col min="12014" max="12014" width="0.140625" style="523" customWidth="1"/>
    <col min="12015" max="12015" width="0" style="523" hidden="1" customWidth="1"/>
    <col min="12016" max="12016" width="78.85546875" style="523" customWidth="1"/>
    <col min="12017" max="12017" width="14.140625" style="523" customWidth="1"/>
    <col min="12018" max="12018" width="0.28515625" style="523" customWidth="1"/>
    <col min="12019" max="12019" width="11.7109375" style="523" customWidth="1"/>
    <col min="12020" max="12020" width="8.7109375" style="523" customWidth="1"/>
    <col min="12021" max="12021" width="0" style="523" hidden="1" customWidth="1"/>
    <col min="12022" max="12022" width="11.42578125" style="523" customWidth="1"/>
    <col min="12023" max="12025" width="0" style="523" hidden="1" customWidth="1"/>
    <col min="12026" max="12026" width="19" style="523" customWidth="1"/>
    <col min="12027" max="12027" width="17.28515625" style="523" customWidth="1"/>
    <col min="12028" max="12028" width="19.7109375" style="523" customWidth="1"/>
    <col min="12029" max="12029" width="20.7109375" style="523" customWidth="1"/>
    <col min="12030" max="12030" width="13.140625" style="523" bestFit="1" customWidth="1"/>
    <col min="12031" max="12031" width="21.5703125" style="523" customWidth="1"/>
    <col min="12032" max="12032" width="16" style="523" bestFit="1" customWidth="1"/>
    <col min="12033" max="12033" width="13.140625" style="523" bestFit="1" customWidth="1"/>
    <col min="12034" max="12034" width="38.28515625" style="523" bestFit="1" customWidth="1"/>
    <col min="12035" max="12035" width="1.28515625" style="523" customWidth="1"/>
    <col min="12036" max="12036" width="0" style="523" hidden="1" customWidth="1"/>
    <col min="12037" max="12261" width="11.42578125" style="523"/>
    <col min="12262" max="12262" width="1.42578125" style="523" customWidth="1"/>
    <col min="12263" max="12263" width="7.5703125" style="523" customWidth="1"/>
    <col min="12264" max="12264" width="4.85546875" style="523" customWidth="1"/>
    <col min="12265" max="12265" width="8" style="523" customWidth="1"/>
    <col min="12266" max="12266" width="8.140625" style="523" customWidth="1"/>
    <col min="12267" max="12267" width="7.28515625" style="523" customWidth="1"/>
    <col min="12268" max="12268" width="20.7109375" style="523" customWidth="1"/>
    <col min="12269" max="12269" width="15" style="523" customWidth="1"/>
    <col min="12270" max="12270" width="0.140625" style="523" customWidth="1"/>
    <col min="12271" max="12271" width="0" style="523" hidden="1" customWidth="1"/>
    <col min="12272" max="12272" width="78.85546875" style="523" customWidth="1"/>
    <col min="12273" max="12273" width="14.140625" style="523" customWidth="1"/>
    <col min="12274" max="12274" width="0.28515625" style="523" customWidth="1"/>
    <col min="12275" max="12275" width="11.7109375" style="523" customWidth="1"/>
    <col min="12276" max="12276" width="8.7109375" style="523" customWidth="1"/>
    <col min="12277" max="12277" width="0" style="523" hidden="1" customWidth="1"/>
    <col min="12278" max="12278" width="11.42578125" style="523" customWidth="1"/>
    <col min="12279" max="12281" width="0" style="523" hidden="1" customWidth="1"/>
    <col min="12282" max="12282" width="19" style="523" customWidth="1"/>
    <col min="12283" max="12283" width="17.28515625" style="523" customWidth="1"/>
    <col min="12284" max="12284" width="19.7109375" style="523" customWidth="1"/>
    <col min="12285" max="12285" width="20.7109375" style="523" customWidth="1"/>
    <col min="12286" max="12286" width="13.140625" style="523" bestFit="1" customWidth="1"/>
    <col min="12287" max="12287" width="21.5703125" style="523" customWidth="1"/>
    <col min="12288" max="12288" width="16" style="523" bestFit="1" customWidth="1"/>
    <col min="12289" max="12289" width="13.140625" style="523" bestFit="1" customWidth="1"/>
    <col min="12290" max="12290" width="38.28515625" style="523" bestFit="1" customWidth="1"/>
    <col min="12291" max="12291" width="1.28515625" style="523" customWidth="1"/>
    <col min="12292" max="12292" width="0" style="523" hidden="1" customWidth="1"/>
    <col min="12293" max="12517" width="11.42578125" style="523"/>
    <col min="12518" max="12518" width="1.42578125" style="523" customWidth="1"/>
    <col min="12519" max="12519" width="7.5703125" style="523" customWidth="1"/>
    <col min="12520" max="12520" width="4.85546875" style="523" customWidth="1"/>
    <col min="12521" max="12521" width="8" style="523" customWidth="1"/>
    <col min="12522" max="12522" width="8.140625" style="523" customWidth="1"/>
    <col min="12523" max="12523" width="7.28515625" style="523" customWidth="1"/>
    <col min="12524" max="12524" width="20.7109375" style="523" customWidth="1"/>
    <col min="12525" max="12525" width="15" style="523" customWidth="1"/>
    <col min="12526" max="12526" width="0.140625" style="523" customWidth="1"/>
    <col min="12527" max="12527" width="0" style="523" hidden="1" customWidth="1"/>
    <col min="12528" max="12528" width="78.85546875" style="523" customWidth="1"/>
    <col min="12529" max="12529" width="14.140625" style="523" customWidth="1"/>
    <col min="12530" max="12530" width="0.28515625" style="523" customWidth="1"/>
    <col min="12531" max="12531" width="11.7109375" style="523" customWidth="1"/>
    <col min="12532" max="12532" width="8.7109375" style="523" customWidth="1"/>
    <col min="12533" max="12533" width="0" style="523" hidden="1" customWidth="1"/>
    <col min="12534" max="12534" width="11.42578125" style="523" customWidth="1"/>
    <col min="12535" max="12537" width="0" style="523" hidden="1" customWidth="1"/>
    <col min="12538" max="12538" width="19" style="523" customWidth="1"/>
    <col min="12539" max="12539" width="17.28515625" style="523" customWidth="1"/>
    <col min="12540" max="12540" width="19.7109375" style="523" customWidth="1"/>
    <col min="12541" max="12541" width="20.7109375" style="523" customWidth="1"/>
    <col min="12542" max="12542" width="13.140625" style="523" bestFit="1" customWidth="1"/>
    <col min="12543" max="12543" width="21.5703125" style="523" customWidth="1"/>
    <col min="12544" max="12544" width="16" style="523" bestFit="1" customWidth="1"/>
    <col min="12545" max="12545" width="13.140625" style="523" bestFit="1" customWidth="1"/>
    <col min="12546" max="12546" width="38.28515625" style="523" bestFit="1" customWidth="1"/>
    <col min="12547" max="12547" width="1.28515625" style="523" customWidth="1"/>
    <col min="12548" max="12548" width="0" style="523" hidden="1" customWidth="1"/>
    <col min="12549" max="12773" width="11.42578125" style="523"/>
    <col min="12774" max="12774" width="1.42578125" style="523" customWidth="1"/>
    <col min="12775" max="12775" width="7.5703125" style="523" customWidth="1"/>
    <col min="12776" max="12776" width="4.85546875" style="523" customWidth="1"/>
    <col min="12777" max="12777" width="8" style="523" customWidth="1"/>
    <col min="12778" max="12778" width="8.140625" style="523" customWidth="1"/>
    <col min="12779" max="12779" width="7.28515625" style="523" customWidth="1"/>
    <col min="12780" max="12780" width="20.7109375" style="523" customWidth="1"/>
    <col min="12781" max="12781" width="15" style="523" customWidth="1"/>
    <col min="12782" max="12782" width="0.140625" style="523" customWidth="1"/>
    <col min="12783" max="12783" width="0" style="523" hidden="1" customWidth="1"/>
    <col min="12784" max="12784" width="78.85546875" style="523" customWidth="1"/>
    <col min="12785" max="12785" width="14.140625" style="523" customWidth="1"/>
    <col min="12786" max="12786" width="0.28515625" style="523" customWidth="1"/>
    <col min="12787" max="12787" width="11.7109375" style="523" customWidth="1"/>
    <col min="12788" max="12788" width="8.7109375" style="523" customWidth="1"/>
    <col min="12789" max="12789" width="0" style="523" hidden="1" customWidth="1"/>
    <col min="12790" max="12790" width="11.42578125" style="523" customWidth="1"/>
    <col min="12791" max="12793" width="0" style="523" hidden="1" customWidth="1"/>
    <col min="12794" max="12794" width="19" style="523" customWidth="1"/>
    <col min="12795" max="12795" width="17.28515625" style="523" customWidth="1"/>
    <col min="12796" max="12796" width="19.7109375" style="523" customWidth="1"/>
    <col min="12797" max="12797" width="20.7109375" style="523" customWidth="1"/>
    <col min="12798" max="12798" width="13.140625" style="523" bestFit="1" customWidth="1"/>
    <col min="12799" max="12799" width="21.5703125" style="523" customWidth="1"/>
    <col min="12800" max="12800" width="16" style="523" bestFit="1" customWidth="1"/>
    <col min="12801" max="12801" width="13.140625" style="523" bestFit="1" customWidth="1"/>
    <col min="12802" max="12802" width="38.28515625" style="523" bestFit="1" customWidth="1"/>
    <col min="12803" max="12803" width="1.28515625" style="523" customWidth="1"/>
    <col min="12804" max="12804" width="0" style="523" hidden="1" customWidth="1"/>
    <col min="12805" max="13029" width="11.42578125" style="523"/>
    <col min="13030" max="13030" width="1.42578125" style="523" customWidth="1"/>
    <col min="13031" max="13031" width="7.5703125" style="523" customWidth="1"/>
    <col min="13032" max="13032" width="4.85546875" style="523" customWidth="1"/>
    <col min="13033" max="13033" width="8" style="523" customWidth="1"/>
    <col min="13034" max="13034" width="8.140625" style="523" customWidth="1"/>
    <col min="13035" max="13035" width="7.28515625" style="523" customWidth="1"/>
    <col min="13036" max="13036" width="20.7109375" style="523" customWidth="1"/>
    <col min="13037" max="13037" width="15" style="523" customWidth="1"/>
    <col min="13038" max="13038" width="0.140625" style="523" customWidth="1"/>
    <col min="13039" max="13039" width="0" style="523" hidden="1" customWidth="1"/>
    <col min="13040" max="13040" width="78.85546875" style="523" customWidth="1"/>
    <col min="13041" max="13041" width="14.140625" style="523" customWidth="1"/>
    <col min="13042" max="13042" width="0.28515625" style="523" customWidth="1"/>
    <col min="13043" max="13043" width="11.7109375" style="523" customWidth="1"/>
    <col min="13044" max="13044" width="8.7109375" style="523" customWidth="1"/>
    <col min="13045" max="13045" width="0" style="523" hidden="1" customWidth="1"/>
    <col min="13046" max="13046" width="11.42578125" style="523" customWidth="1"/>
    <col min="13047" max="13049" width="0" style="523" hidden="1" customWidth="1"/>
    <col min="13050" max="13050" width="19" style="523" customWidth="1"/>
    <col min="13051" max="13051" width="17.28515625" style="523" customWidth="1"/>
    <col min="13052" max="13052" width="19.7109375" style="523" customWidth="1"/>
    <col min="13053" max="13053" width="20.7109375" style="523" customWidth="1"/>
    <col min="13054" max="13054" width="13.140625" style="523" bestFit="1" customWidth="1"/>
    <col min="13055" max="13055" width="21.5703125" style="523" customWidth="1"/>
    <col min="13056" max="13056" width="16" style="523" bestFit="1" customWidth="1"/>
    <col min="13057" max="13057" width="13.140625" style="523" bestFit="1" customWidth="1"/>
    <col min="13058" max="13058" width="38.28515625" style="523" bestFit="1" customWidth="1"/>
    <col min="13059" max="13059" width="1.28515625" style="523" customWidth="1"/>
    <col min="13060" max="13060" width="0" style="523" hidden="1" customWidth="1"/>
    <col min="13061" max="13285" width="11.42578125" style="523"/>
    <col min="13286" max="13286" width="1.42578125" style="523" customWidth="1"/>
    <col min="13287" max="13287" width="7.5703125" style="523" customWidth="1"/>
    <col min="13288" max="13288" width="4.85546875" style="523" customWidth="1"/>
    <col min="13289" max="13289" width="8" style="523" customWidth="1"/>
    <col min="13290" max="13290" width="8.140625" style="523" customWidth="1"/>
    <col min="13291" max="13291" width="7.28515625" style="523" customWidth="1"/>
    <col min="13292" max="13292" width="20.7109375" style="523" customWidth="1"/>
    <col min="13293" max="13293" width="15" style="523" customWidth="1"/>
    <col min="13294" max="13294" width="0.140625" style="523" customWidth="1"/>
    <col min="13295" max="13295" width="0" style="523" hidden="1" customWidth="1"/>
    <col min="13296" max="13296" width="78.85546875" style="523" customWidth="1"/>
    <col min="13297" max="13297" width="14.140625" style="523" customWidth="1"/>
    <col min="13298" max="13298" width="0.28515625" style="523" customWidth="1"/>
    <col min="13299" max="13299" width="11.7109375" style="523" customWidth="1"/>
    <col min="13300" max="13300" width="8.7109375" style="523" customWidth="1"/>
    <col min="13301" max="13301" width="0" style="523" hidden="1" customWidth="1"/>
    <col min="13302" max="13302" width="11.42578125" style="523" customWidth="1"/>
    <col min="13303" max="13305" width="0" style="523" hidden="1" customWidth="1"/>
    <col min="13306" max="13306" width="19" style="523" customWidth="1"/>
    <col min="13307" max="13307" width="17.28515625" style="523" customWidth="1"/>
    <col min="13308" max="13308" width="19.7109375" style="523" customWidth="1"/>
    <col min="13309" max="13309" width="20.7109375" style="523" customWidth="1"/>
    <col min="13310" max="13310" width="13.140625" style="523" bestFit="1" customWidth="1"/>
    <col min="13311" max="13311" width="21.5703125" style="523" customWidth="1"/>
    <col min="13312" max="13312" width="16" style="523" bestFit="1" customWidth="1"/>
    <col min="13313" max="13313" width="13.140625" style="523" bestFit="1" customWidth="1"/>
    <col min="13314" max="13314" width="38.28515625" style="523" bestFit="1" customWidth="1"/>
    <col min="13315" max="13315" width="1.28515625" style="523" customWidth="1"/>
    <col min="13316" max="13316" width="0" style="523" hidden="1" customWidth="1"/>
    <col min="13317" max="13541" width="11.42578125" style="523"/>
    <col min="13542" max="13542" width="1.42578125" style="523" customWidth="1"/>
    <col min="13543" max="13543" width="7.5703125" style="523" customWidth="1"/>
    <col min="13544" max="13544" width="4.85546875" style="523" customWidth="1"/>
    <col min="13545" max="13545" width="8" style="523" customWidth="1"/>
    <col min="13546" max="13546" width="8.140625" style="523" customWidth="1"/>
    <col min="13547" max="13547" width="7.28515625" style="523" customWidth="1"/>
    <col min="13548" max="13548" width="20.7109375" style="523" customWidth="1"/>
    <col min="13549" max="13549" width="15" style="523" customWidth="1"/>
    <col min="13550" max="13550" width="0.140625" style="523" customWidth="1"/>
    <col min="13551" max="13551" width="0" style="523" hidden="1" customWidth="1"/>
    <col min="13552" max="13552" width="78.85546875" style="523" customWidth="1"/>
    <col min="13553" max="13553" width="14.140625" style="523" customWidth="1"/>
    <col min="13554" max="13554" width="0.28515625" style="523" customWidth="1"/>
    <col min="13555" max="13555" width="11.7109375" style="523" customWidth="1"/>
    <col min="13556" max="13556" width="8.7109375" style="523" customWidth="1"/>
    <col min="13557" max="13557" width="0" style="523" hidden="1" customWidth="1"/>
    <col min="13558" max="13558" width="11.42578125" style="523" customWidth="1"/>
    <col min="13559" max="13561" width="0" style="523" hidden="1" customWidth="1"/>
    <col min="13562" max="13562" width="19" style="523" customWidth="1"/>
    <col min="13563" max="13563" width="17.28515625" style="523" customWidth="1"/>
    <col min="13564" max="13564" width="19.7109375" style="523" customWidth="1"/>
    <col min="13565" max="13565" width="20.7109375" style="523" customWidth="1"/>
    <col min="13566" max="13566" width="13.140625" style="523" bestFit="1" customWidth="1"/>
    <col min="13567" max="13567" width="21.5703125" style="523" customWidth="1"/>
    <col min="13568" max="13568" width="16" style="523" bestFit="1" customWidth="1"/>
    <col min="13569" max="13569" width="13.140625" style="523" bestFit="1" customWidth="1"/>
    <col min="13570" max="13570" width="38.28515625" style="523" bestFit="1" customWidth="1"/>
    <col min="13571" max="13571" width="1.28515625" style="523" customWidth="1"/>
    <col min="13572" max="13572" width="0" style="523" hidden="1" customWidth="1"/>
    <col min="13573" max="13797" width="11.42578125" style="523"/>
    <col min="13798" max="13798" width="1.42578125" style="523" customWidth="1"/>
    <col min="13799" max="13799" width="7.5703125" style="523" customWidth="1"/>
    <col min="13800" max="13800" width="4.85546875" style="523" customWidth="1"/>
    <col min="13801" max="13801" width="8" style="523" customWidth="1"/>
    <col min="13802" max="13802" width="8.140625" style="523" customWidth="1"/>
    <col min="13803" max="13803" width="7.28515625" style="523" customWidth="1"/>
    <col min="13804" max="13804" width="20.7109375" style="523" customWidth="1"/>
    <col min="13805" max="13805" width="15" style="523" customWidth="1"/>
    <col min="13806" max="13806" width="0.140625" style="523" customWidth="1"/>
    <col min="13807" max="13807" width="0" style="523" hidden="1" customWidth="1"/>
    <col min="13808" max="13808" width="78.85546875" style="523" customWidth="1"/>
    <col min="13809" max="13809" width="14.140625" style="523" customWidth="1"/>
    <col min="13810" max="13810" width="0.28515625" style="523" customWidth="1"/>
    <col min="13811" max="13811" width="11.7109375" style="523" customWidth="1"/>
    <col min="13812" max="13812" width="8.7109375" style="523" customWidth="1"/>
    <col min="13813" max="13813" width="0" style="523" hidden="1" customWidth="1"/>
    <col min="13814" max="13814" width="11.42578125" style="523" customWidth="1"/>
    <col min="13815" max="13817" width="0" style="523" hidden="1" customWidth="1"/>
    <col min="13818" max="13818" width="19" style="523" customWidth="1"/>
    <col min="13819" max="13819" width="17.28515625" style="523" customWidth="1"/>
    <col min="13820" max="13820" width="19.7109375" style="523" customWidth="1"/>
    <col min="13821" max="13821" width="20.7109375" style="523" customWidth="1"/>
    <col min="13822" max="13822" width="13.140625" style="523" bestFit="1" customWidth="1"/>
    <col min="13823" max="13823" width="21.5703125" style="523" customWidth="1"/>
    <col min="13824" max="13824" width="16" style="523" bestFit="1" customWidth="1"/>
    <col min="13825" max="13825" width="13.140625" style="523" bestFit="1" customWidth="1"/>
    <col min="13826" max="13826" width="38.28515625" style="523" bestFit="1" customWidth="1"/>
    <col min="13827" max="13827" width="1.28515625" style="523" customWidth="1"/>
    <col min="13828" max="13828" width="0" style="523" hidden="1" customWidth="1"/>
    <col min="13829" max="14053" width="11.42578125" style="523"/>
    <col min="14054" max="14054" width="1.42578125" style="523" customWidth="1"/>
    <col min="14055" max="14055" width="7.5703125" style="523" customWidth="1"/>
    <col min="14056" max="14056" width="4.85546875" style="523" customWidth="1"/>
    <col min="14057" max="14057" width="8" style="523" customWidth="1"/>
    <col min="14058" max="14058" width="8.140625" style="523" customWidth="1"/>
    <col min="14059" max="14059" width="7.28515625" style="523" customWidth="1"/>
    <col min="14060" max="14060" width="20.7109375" style="523" customWidth="1"/>
    <col min="14061" max="14061" width="15" style="523" customWidth="1"/>
    <col min="14062" max="14062" width="0.140625" style="523" customWidth="1"/>
    <col min="14063" max="14063" width="0" style="523" hidden="1" customWidth="1"/>
    <col min="14064" max="14064" width="78.85546875" style="523" customWidth="1"/>
    <col min="14065" max="14065" width="14.140625" style="523" customWidth="1"/>
    <col min="14066" max="14066" width="0.28515625" style="523" customWidth="1"/>
    <col min="14067" max="14067" width="11.7109375" style="523" customWidth="1"/>
    <col min="14068" max="14068" width="8.7109375" style="523" customWidth="1"/>
    <col min="14069" max="14069" width="0" style="523" hidden="1" customWidth="1"/>
    <col min="14070" max="14070" width="11.42578125" style="523" customWidth="1"/>
    <col min="14071" max="14073" width="0" style="523" hidden="1" customWidth="1"/>
    <col min="14074" max="14074" width="19" style="523" customWidth="1"/>
    <col min="14075" max="14075" width="17.28515625" style="523" customWidth="1"/>
    <col min="14076" max="14076" width="19.7109375" style="523" customWidth="1"/>
    <col min="14077" max="14077" width="20.7109375" style="523" customWidth="1"/>
    <col min="14078" max="14078" width="13.140625" style="523" bestFit="1" customWidth="1"/>
    <col min="14079" max="14079" width="21.5703125" style="523" customWidth="1"/>
    <col min="14080" max="14080" width="16" style="523" bestFit="1" customWidth="1"/>
    <col min="14081" max="14081" width="13.140625" style="523" bestFit="1" customWidth="1"/>
    <col min="14082" max="14082" width="38.28515625" style="523" bestFit="1" customWidth="1"/>
    <col min="14083" max="14083" width="1.28515625" style="523" customWidth="1"/>
    <col min="14084" max="14084" width="0" style="523" hidden="1" customWidth="1"/>
    <col min="14085" max="14309" width="11.42578125" style="523"/>
    <col min="14310" max="14310" width="1.42578125" style="523" customWidth="1"/>
    <col min="14311" max="14311" width="7.5703125" style="523" customWidth="1"/>
    <col min="14312" max="14312" width="4.85546875" style="523" customWidth="1"/>
    <col min="14313" max="14313" width="8" style="523" customWidth="1"/>
    <col min="14314" max="14314" width="8.140625" style="523" customWidth="1"/>
    <col min="14315" max="14315" width="7.28515625" style="523" customWidth="1"/>
    <col min="14316" max="14316" width="20.7109375" style="523" customWidth="1"/>
    <col min="14317" max="14317" width="15" style="523" customWidth="1"/>
    <col min="14318" max="14318" width="0.140625" style="523" customWidth="1"/>
    <col min="14319" max="14319" width="0" style="523" hidden="1" customWidth="1"/>
    <col min="14320" max="14320" width="78.85546875" style="523" customWidth="1"/>
    <col min="14321" max="14321" width="14.140625" style="523" customWidth="1"/>
    <col min="14322" max="14322" width="0.28515625" style="523" customWidth="1"/>
    <col min="14323" max="14323" width="11.7109375" style="523" customWidth="1"/>
    <col min="14324" max="14324" width="8.7109375" style="523" customWidth="1"/>
    <col min="14325" max="14325" width="0" style="523" hidden="1" customWidth="1"/>
    <col min="14326" max="14326" width="11.42578125" style="523" customWidth="1"/>
    <col min="14327" max="14329" width="0" style="523" hidden="1" customWidth="1"/>
    <col min="14330" max="14330" width="19" style="523" customWidth="1"/>
    <col min="14331" max="14331" width="17.28515625" style="523" customWidth="1"/>
    <col min="14332" max="14332" width="19.7109375" style="523" customWidth="1"/>
    <col min="14333" max="14333" width="20.7109375" style="523" customWidth="1"/>
    <col min="14334" max="14334" width="13.140625" style="523" bestFit="1" customWidth="1"/>
    <col min="14335" max="14335" width="21.5703125" style="523" customWidth="1"/>
    <col min="14336" max="14336" width="16" style="523" bestFit="1" customWidth="1"/>
    <col min="14337" max="14337" width="13.140625" style="523" bestFit="1" customWidth="1"/>
    <col min="14338" max="14338" width="38.28515625" style="523" bestFit="1" customWidth="1"/>
    <col min="14339" max="14339" width="1.28515625" style="523" customWidth="1"/>
    <col min="14340" max="14340" width="0" style="523" hidden="1" customWidth="1"/>
    <col min="14341" max="14565" width="11.42578125" style="523"/>
    <col min="14566" max="14566" width="1.42578125" style="523" customWidth="1"/>
    <col min="14567" max="14567" width="7.5703125" style="523" customWidth="1"/>
    <col min="14568" max="14568" width="4.85546875" style="523" customWidth="1"/>
    <col min="14569" max="14569" width="8" style="523" customWidth="1"/>
    <col min="14570" max="14570" width="8.140625" style="523" customWidth="1"/>
    <col min="14571" max="14571" width="7.28515625" style="523" customWidth="1"/>
    <col min="14572" max="14572" width="20.7109375" style="523" customWidth="1"/>
    <col min="14573" max="14573" width="15" style="523" customWidth="1"/>
    <col min="14574" max="14574" width="0.140625" style="523" customWidth="1"/>
    <col min="14575" max="14575" width="0" style="523" hidden="1" customWidth="1"/>
    <col min="14576" max="14576" width="78.85546875" style="523" customWidth="1"/>
    <col min="14577" max="14577" width="14.140625" style="523" customWidth="1"/>
    <col min="14578" max="14578" width="0.28515625" style="523" customWidth="1"/>
    <col min="14579" max="14579" width="11.7109375" style="523" customWidth="1"/>
    <col min="14580" max="14580" width="8.7109375" style="523" customWidth="1"/>
    <col min="14581" max="14581" width="0" style="523" hidden="1" customWidth="1"/>
    <col min="14582" max="14582" width="11.42578125" style="523" customWidth="1"/>
    <col min="14583" max="14585" width="0" style="523" hidden="1" customWidth="1"/>
    <col min="14586" max="14586" width="19" style="523" customWidth="1"/>
    <col min="14587" max="14587" width="17.28515625" style="523" customWidth="1"/>
    <col min="14588" max="14588" width="19.7109375" style="523" customWidth="1"/>
    <col min="14589" max="14589" width="20.7109375" style="523" customWidth="1"/>
    <col min="14590" max="14590" width="13.140625" style="523" bestFit="1" customWidth="1"/>
    <col min="14591" max="14591" width="21.5703125" style="523" customWidth="1"/>
    <col min="14592" max="14592" width="16" style="523" bestFit="1" customWidth="1"/>
    <col min="14593" max="14593" width="13.140625" style="523" bestFit="1" customWidth="1"/>
    <col min="14594" max="14594" width="38.28515625" style="523" bestFit="1" customWidth="1"/>
    <col min="14595" max="14595" width="1.28515625" style="523" customWidth="1"/>
    <col min="14596" max="14596" width="0" style="523" hidden="1" customWidth="1"/>
    <col min="14597" max="14821" width="11.42578125" style="523"/>
    <col min="14822" max="14822" width="1.42578125" style="523" customWidth="1"/>
    <col min="14823" max="14823" width="7.5703125" style="523" customWidth="1"/>
    <col min="14824" max="14824" width="4.85546875" style="523" customWidth="1"/>
    <col min="14825" max="14825" width="8" style="523" customWidth="1"/>
    <col min="14826" max="14826" width="8.140625" style="523" customWidth="1"/>
    <col min="14827" max="14827" width="7.28515625" style="523" customWidth="1"/>
    <col min="14828" max="14828" width="20.7109375" style="523" customWidth="1"/>
    <col min="14829" max="14829" width="15" style="523" customWidth="1"/>
    <col min="14830" max="14830" width="0.140625" style="523" customWidth="1"/>
    <col min="14831" max="14831" width="0" style="523" hidden="1" customWidth="1"/>
    <col min="14832" max="14832" width="78.85546875" style="523" customWidth="1"/>
    <col min="14833" max="14833" width="14.140625" style="523" customWidth="1"/>
    <col min="14834" max="14834" width="0.28515625" style="523" customWidth="1"/>
    <col min="14835" max="14835" width="11.7109375" style="523" customWidth="1"/>
    <col min="14836" max="14836" width="8.7109375" style="523" customWidth="1"/>
    <col min="14837" max="14837" width="0" style="523" hidden="1" customWidth="1"/>
    <col min="14838" max="14838" width="11.42578125" style="523" customWidth="1"/>
    <col min="14839" max="14841" width="0" style="523" hidden="1" customWidth="1"/>
    <col min="14842" max="14842" width="19" style="523" customWidth="1"/>
    <col min="14843" max="14843" width="17.28515625" style="523" customWidth="1"/>
    <col min="14844" max="14844" width="19.7109375" style="523" customWidth="1"/>
    <col min="14845" max="14845" width="20.7109375" style="523" customWidth="1"/>
    <col min="14846" max="14846" width="13.140625" style="523" bestFit="1" customWidth="1"/>
    <col min="14847" max="14847" width="21.5703125" style="523" customWidth="1"/>
    <col min="14848" max="14848" width="16" style="523" bestFit="1" customWidth="1"/>
    <col min="14849" max="14849" width="13.140625" style="523" bestFit="1" customWidth="1"/>
    <col min="14850" max="14850" width="38.28515625" style="523" bestFit="1" customWidth="1"/>
    <col min="14851" max="14851" width="1.28515625" style="523" customWidth="1"/>
    <col min="14852" max="14852" width="0" style="523" hidden="1" customWidth="1"/>
    <col min="14853" max="15077" width="11.42578125" style="523"/>
    <col min="15078" max="15078" width="1.42578125" style="523" customWidth="1"/>
    <col min="15079" max="15079" width="7.5703125" style="523" customWidth="1"/>
    <col min="15080" max="15080" width="4.85546875" style="523" customWidth="1"/>
    <col min="15081" max="15081" width="8" style="523" customWidth="1"/>
    <col min="15082" max="15082" width="8.140625" style="523" customWidth="1"/>
    <col min="15083" max="15083" width="7.28515625" style="523" customWidth="1"/>
    <col min="15084" max="15084" width="20.7109375" style="523" customWidth="1"/>
    <col min="15085" max="15085" width="15" style="523" customWidth="1"/>
    <col min="15086" max="15086" width="0.140625" style="523" customWidth="1"/>
    <col min="15087" max="15087" width="0" style="523" hidden="1" customWidth="1"/>
    <col min="15088" max="15088" width="78.85546875" style="523" customWidth="1"/>
    <col min="15089" max="15089" width="14.140625" style="523" customWidth="1"/>
    <col min="15090" max="15090" width="0.28515625" style="523" customWidth="1"/>
    <col min="15091" max="15091" width="11.7109375" style="523" customWidth="1"/>
    <col min="15092" max="15092" width="8.7109375" style="523" customWidth="1"/>
    <col min="15093" max="15093" width="0" style="523" hidden="1" customWidth="1"/>
    <col min="15094" max="15094" width="11.42578125" style="523" customWidth="1"/>
    <col min="15095" max="15097" width="0" style="523" hidden="1" customWidth="1"/>
    <col min="15098" max="15098" width="19" style="523" customWidth="1"/>
    <col min="15099" max="15099" width="17.28515625" style="523" customWidth="1"/>
    <col min="15100" max="15100" width="19.7109375" style="523" customWidth="1"/>
    <col min="15101" max="15101" width="20.7109375" style="523" customWidth="1"/>
    <col min="15102" max="15102" width="13.140625" style="523" bestFit="1" customWidth="1"/>
    <col min="15103" max="15103" width="21.5703125" style="523" customWidth="1"/>
    <col min="15104" max="15104" width="16" style="523" bestFit="1" customWidth="1"/>
    <col min="15105" max="15105" width="13.140625" style="523" bestFit="1" customWidth="1"/>
    <col min="15106" max="15106" width="38.28515625" style="523" bestFit="1" customWidth="1"/>
    <col min="15107" max="15107" width="1.28515625" style="523" customWidth="1"/>
    <col min="15108" max="15108" width="0" style="523" hidden="1" customWidth="1"/>
    <col min="15109" max="15333" width="11.42578125" style="523"/>
    <col min="15334" max="15334" width="1.42578125" style="523" customWidth="1"/>
    <col min="15335" max="15335" width="7.5703125" style="523" customWidth="1"/>
    <col min="15336" max="15336" width="4.85546875" style="523" customWidth="1"/>
    <col min="15337" max="15337" width="8" style="523" customWidth="1"/>
    <col min="15338" max="15338" width="8.140625" style="523" customWidth="1"/>
    <col min="15339" max="15339" width="7.28515625" style="523" customWidth="1"/>
    <col min="15340" max="15340" width="20.7109375" style="523" customWidth="1"/>
    <col min="15341" max="15341" width="15" style="523" customWidth="1"/>
    <col min="15342" max="15342" width="0.140625" style="523" customWidth="1"/>
    <col min="15343" max="15343" width="0" style="523" hidden="1" customWidth="1"/>
    <col min="15344" max="15344" width="78.85546875" style="523" customWidth="1"/>
    <col min="15345" max="15345" width="14.140625" style="523" customWidth="1"/>
    <col min="15346" max="15346" width="0.28515625" style="523" customWidth="1"/>
    <col min="15347" max="15347" width="11.7109375" style="523" customWidth="1"/>
    <col min="15348" max="15348" width="8.7109375" style="523" customWidth="1"/>
    <col min="15349" max="15349" width="0" style="523" hidden="1" customWidth="1"/>
    <col min="15350" max="15350" width="11.42578125" style="523" customWidth="1"/>
    <col min="15351" max="15353" width="0" style="523" hidden="1" customWidth="1"/>
    <col min="15354" max="15354" width="19" style="523" customWidth="1"/>
    <col min="15355" max="15355" width="17.28515625" style="523" customWidth="1"/>
    <col min="15356" max="15356" width="19.7109375" style="523" customWidth="1"/>
    <col min="15357" max="15357" width="20.7109375" style="523" customWidth="1"/>
    <col min="15358" max="15358" width="13.140625" style="523" bestFit="1" customWidth="1"/>
    <col min="15359" max="15359" width="21.5703125" style="523" customWidth="1"/>
    <col min="15360" max="15360" width="16" style="523" bestFit="1" customWidth="1"/>
    <col min="15361" max="15361" width="13.140625" style="523" bestFit="1" customWidth="1"/>
    <col min="15362" max="15362" width="38.28515625" style="523" bestFit="1" customWidth="1"/>
    <col min="15363" max="15363" width="1.28515625" style="523" customWidth="1"/>
    <col min="15364" max="15364" width="0" style="523" hidden="1" customWidth="1"/>
    <col min="15365" max="15589" width="11.42578125" style="523"/>
    <col min="15590" max="15590" width="1.42578125" style="523" customWidth="1"/>
    <col min="15591" max="15591" width="7.5703125" style="523" customWidth="1"/>
    <col min="15592" max="15592" width="4.85546875" style="523" customWidth="1"/>
    <col min="15593" max="15593" width="8" style="523" customWidth="1"/>
    <col min="15594" max="15594" width="8.140625" style="523" customWidth="1"/>
    <col min="15595" max="15595" width="7.28515625" style="523" customWidth="1"/>
    <col min="15596" max="15596" width="20.7109375" style="523" customWidth="1"/>
    <col min="15597" max="15597" width="15" style="523" customWidth="1"/>
    <col min="15598" max="15598" width="0.140625" style="523" customWidth="1"/>
    <col min="15599" max="15599" width="0" style="523" hidden="1" customWidth="1"/>
    <col min="15600" max="15600" width="78.85546875" style="523" customWidth="1"/>
    <col min="15601" max="15601" width="14.140625" style="523" customWidth="1"/>
    <col min="15602" max="15602" width="0.28515625" style="523" customWidth="1"/>
    <col min="15603" max="15603" width="11.7109375" style="523" customWidth="1"/>
    <col min="15604" max="15604" width="8.7109375" style="523" customWidth="1"/>
    <col min="15605" max="15605" width="0" style="523" hidden="1" customWidth="1"/>
    <col min="15606" max="15606" width="11.42578125" style="523" customWidth="1"/>
    <col min="15607" max="15609" width="0" style="523" hidden="1" customWidth="1"/>
    <col min="15610" max="15610" width="19" style="523" customWidth="1"/>
    <col min="15611" max="15611" width="17.28515625" style="523" customWidth="1"/>
    <col min="15612" max="15612" width="19.7109375" style="523" customWidth="1"/>
    <col min="15613" max="15613" width="20.7109375" style="523" customWidth="1"/>
    <col min="15614" max="15614" width="13.140625" style="523" bestFit="1" customWidth="1"/>
    <col min="15615" max="15615" width="21.5703125" style="523" customWidth="1"/>
    <col min="15616" max="15616" width="16" style="523" bestFit="1" customWidth="1"/>
    <col min="15617" max="15617" width="13.140625" style="523" bestFit="1" customWidth="1"/>
    <col min="15618" max="15618" width="38.28515625" style="523" bestFit="1" customWidth="1"/>
    <col min="15619" max="15619" width="1.28515625" style="523" customWidth="1"/>
    <col min="15620" max="15620" width="0" style="523" hidden="1" customWidth="1"/>
    <col min="15621" max="15845" width="11.42578125" style="523"/>
    <col min="15846" max="15846" width="1.42578125" style="523" customWidth="1"/>
    <col min="15847" max="15847" width="7.5703125" style="523" customWidth="1"/>
    <col min="15848" max="15848" width="4.85546875" style="523" customWidth="1"/>
    <col min="15849" max="15849" width="8" style="523" customWidth="1"/>
    <col min="15850" max="15850" width="8.140625" style="523" customWidth="1"/>
    <col min="15851" max="15851" width="7.28515625" style="523" customWidth="1"/>
    <col min="15852" max="15852" width="20.7109375" style="523" customWidth="1"/>
    <col min="15853" max="15853" width="15" style="523" customWidth="1"/>
    <col min="15854" max="15854" width="0.140625" style="523" customWidth="1"/>
    <col min="15855" max="15855" width="0" style="523" hidden="1" customWidth="1"/>
    <col min="15856" max="15856" width="78.85546875" style="523" customWidth="1"/>
    <col min="15857" max="15857" width="14.140625" style="523" customWidth="1"/>
    <col min="15858" max="15858" width="0.28515625" style="523" customWidth="1"/>
    <col min="15859" max="15859" width="11.7109375" style="523" customWidth="1"/>
    <col min="15860" max="15860" width="8.7109375" style="523" customWidth="1"/>
    <col min="15861" max="15861" width="0" style="523" hidden="1" customWidth="1"/>
    <col min="15862" max="15862" width="11.42578125" style="523" customWidth="1"/>
    <col min="15863" max="15865" width="0" style="523" hidden="1" customWidth="1"/>
    <col min="15866" max="15866" width="19" style="523" customWidth="1"/>
    <col min="15867" max="15867" width="17.28515625" style="523" customWidth="1"/>
    <col min="15868" max="15868" width="19.7109375" style="523" customWidth="1"/>
    <col min="15869" max="15869" width="20.7109375" style="523" customWidth="1"/>
    <col min="15870" max="15870" width="13.140625" style="523" bestFit="1" customWidth="1"/>
    <col min="15871" max="15871" width="21.5703125" style="523" customWidth="1"/>
    <col min="15872" max="15872" width="16" style="523" bestFit="1" customWidth="1"/>
    <col min="15873" max="15873" width="13.140625" style="523" bestFit="1" customWidth="1"/>
    <col min="15874" max="15874" width="38.28515625" style="523" bestFit="1" customWidth="1"/>
    <col min="15875" max="15875" width="1.28515625" style="523" customWidth="1"/>
    <col min="15876" max="15876" width="0" style="523" hidden="1" customWidth="1"/>
    <col min="15877" max="16101" width="11.42578125" style="523"/>
    <col min="16102" max="16102" width="1.42578125" style="523" customWidth="1"/>
    <col min="16103" max="16103" width="7.5703125" style="523" customWidth="1"/>
    <col min="16104" max="16104" width="4.85546875" style="523" customWidth="1"/>
    <col min="16105" max="16105" width="8" style="523" customWidth="1"/>
    <col min="16106" max="16106" width="8.140625" style="523" customWidth="1"/>
    <col min="16107" max="16107" width="7.28515625" style="523" customWidth="1"/>
    <col min="16108" max="16108" width="20.7109375" style="523" customWidth="1"/>
    <col min="16109" max="16109" width="15" style="523" customWidth="1"/>
    <col min="16110" max="16110" width="0.140625" style="523" customWidth="1"/>
    <col min="16111" max="16111" width="0" style="523" hidden="1" customWidth="1"/>
    <col min="16112" max="16112" width="78.85546875" style="523" customWidth="1"/>
    <col min="16113" max="16113" width="14.140625" style="523" customWidth="1"/>
    <col min="16114" max="16114" width="0.28515625" style="523" customWidth="1"/>
    <col min="16115" max="16115" width="11.7109375" style="523" customWidth="1"/>
    <col min="16116" max="16116" width="8.7109375" style="523" customWidth="1"/>
    <col min="16117" max="16117" width="0" style="523" hidden="1" customWidth="1"/>
    <col min="16118" max="16118" width="11.42578125" style="523" customWidth="1"/>
    <col min="16119" max="16121" width="0" style="523" hidden="1" customWidth="1"/>
    <col min="16122" max="16122" width="19" style="523" customWidth="1"/>
    <col min="16123" max="16123" width="17.28515625" style="523" customWidth="1"/>
    <col min="16124" max="16124" width="19.7109375" style="523" customWidth="1"/>
    <col min="16125" max="16125" width="20.7109375" style="523" customWidth="1"/>
    <col min="16126" max="16126" width="13.140625" style="523" bestFit="1" customWidth="1"/>
    <col min="16127" max="16127" width="21.5703125" style="523" customWidth="1"/>
    <col min="16128" max="16128" width="16" style="523" bestFit="1" customWidth="1"/>
    <col min="16129" max="16129" width="13.140625" style="523" bestFit="1" customWidth="1"/>
    <col min="16130" max="16130" width="38.28515625" style="523" bestFit="1" customWidth="1"/>
    <col min="16131" max="16131" width="1.28515625" style="523" customWidth="1"/>
    <col min="16132" max="16132" width="0" style="523" hidden="1" customWidth="1"/>
    <col min="16133" max="16384" width="11.42578125" style="523"/>
  </cols>
  <sheetData>
    <row r="1" spans="1:31" ht="15" customHeight="1" x14ac:dyDescent="0.2">
      <c r="A1" s="519"/>
      <c r="B1" s="519"/>
      <c r="C1" s="519"/>
      <c r="D1" s="519"/>
      <c r="E1" s="872" t="s">
        <v>160</v>
      </c>
      <c r="F1" s="872"/>
      <c r="G1" s="872"/>
      <c r="H1" s="872"/>
      <c r="I1" s="872"/>
      <c r="J1" s="872"/>
      <c r="K1" s="872"/>
      <c r="L1" s="872"/>
      <c r="M1" s="872"/>
      <c r="N1" s="872"/>
      <c r="O1" s="872"/>
      <c r="P1" s="872"/>
      <c r="Q1" s="872"/>
      <c r="R1" s="872"/>
      <c r="S1" s="520" t="s">
        <v>5</v>
      </c>
      <c r="T1" s="521"/>
      <c r="U1" s="522"/>
    </row>
    <row r="2" spans="1:31" x14ac:dyDescent="0.2">
      <c r="A2" s="519"/>
      <c r="B2" s="519"/>
      <c r="C2" s="519"/>
      <c r="D2" s="519"/>
      <c r="E2" s="872"/>
      <c r="F2" s="872"/>
      <c r="G2" s="872"/>
      <c r="H2" s="872"/>
      <c r="I2" s="872"/>
      <c r="J2" s="872"/>
      <c r="K2" s="872"/>
      <c r="L2" s="872"/>
      <c r="M2" s="872"/>
      <c r="N2" s="872"/>
      <c r="O2" s="872"/>
      <c r="P2" s="872"/>
      <c r="Q2" s="872"/>
      <c r="R2" s="872"/>
      <c r="S2" s="520" t="s">
        <v>150</v>
      </c>
      <c r="T2" s="521"/>
      <c r="U2" s="522"/>
    </row>
    <row r="3" spans="1:31" ht="15" x14ac:dyDescent="0.2">
      <c r="A3" s="519"/>
      <c r="B3" s="519"/>
      <c r="C3" s="519"/>
      <c r="D3" s="519"/>
      <c r="E3" s="872"/>
      <c r="F3" s="872"/>
      <c r="G3" s="872"/>
      <c r="H3" s="872"/>
      <c r="I3" s="872"/>
      <c r="J3" s="872"/>
      <c r="K3" s="872"/>
      <c r="L3" s="872"/>
      <c r="M3" s="872"/>
      <c r="N3" s="872"/>
      <c r="O3" s="872"/>
      <c r="P3" s="872"/>
      <c r="Q3" s="872"/>
      <c r="R3" s="872"/>
      <c r="S3" s="520" t="s">
        <v>151</v>
      </c>
      <c r="T3" s="525"/>
      <c r="U3" s="273"/>
    </row>
    <row r="4" spans="1:31" ht="9" customHeight="1" x14ac:dyDescent="0.2">
      <c r="A4" s="519"/>
      <c r="B4" s="519"/>
      <c r="C4" s="519"/>
      <c r="D4" s="526"/>
      <c r="E4" s="872"/>
      <c r="F4" s="872"/>
      <c r="G4" s="872"/>
      <c r="H4" s="872"/>
      <c r="I4" s="872"/>
      <c r="J4" s="872"/>
      <c r="K4" s="872"/>
      <c r="L4" s="872"/>
      <c r="M4" s="872"/>
      <c r="N4" s="872"/>
      <c r="O4" s="872"/>
      <c r="P4" s="872"/>
      <c r="Q4" s="872"/>
      <c r="R4" s="872"/>
      <c r="S4" s="520" t="s">
        <v>169</v>
      </c>
      <c r="T4" s="527"/>
      <c r="U4" s="528"/>
    </row>
    <row r="5" spans="1:31" x14ac:dyDescent="0.2">
      <c r="A5" s="519"/>
      <c r="B5" s="519"/>
      <c r="C5" s="519"/>
      <c r="D5" s="519"/>
      <c r="E5" s="872"/>
      <c r="F5" s="872"/>
      <c r="G5" s="872"/>
      <c r="H5" s="872"/>
      <c r="I5" s="872"/>
      <c r="J5" s="872"/>
      <c r="K5" s="872"/>
      <c r="L5" s="872"/>
      <c r="M5" s="872"/>
      <c r="N5" s="872"/>
      <c r="O5" s="872"/>
      <c r="P5" s="872"/>
      <c r="Q5" s="872"/>
      <c r="R5" s="872"/>
      <c r="S5" s="529"/>
      <c r="T5" s="522"/>
      <c r="U5" s="522"/>
    </row>
    <row r="6" spans="1:31" ht="11.25" customHeight="1" x14ac:dyDescent="0.2">
      <c r="A6" s="519"/>
      <c r="B6" s="519"/>
      <c r="C6" s="519"/>
      <c r="D6" s="519"/>
      <c r="E6" s="872"/>
      <c r="F6" s="872"/>
      <c r="G6" s="872"/>
      <c r="H6" s="872"/>
      <c r="I6" s="872"/>
      <c r="J6" s="872"/>
      <c r="K6" s="872"/>
      <c r="L6" s="872"/>
      <c r="M6" s="872"/>
      <c r="N6" s="872"/>
      <c r="O6" s="872"/>
      <c r="P6" s="872"/>
      <c r="Q6" s="872"/>
      <c r="R6" s="872"/>
      <c r="S6" s="529"/>
      <c r="T6" s="522"/>
      <c r="U6" s="522"/>
    </row>
    <row r="7" spans="1:31" ht="6.75" hidden="1" customHeight="1" x14ac:dyDescent="0.2">
      <c r="A7" s="519"/>
      <c r="B7" s="519"/>
      <c r="C7" s="519"/>
      <c r="D7" s="519"/>
      <c r="E7" s="519"/>
      <c r="F7" s="530"/>
      <c r="G7" s="530"/>
      <c r="H7" s="530"/>
      <c r="I7" s="531"/>
      <c r="J7" s="532"/>
      <c r="K7" s="532"/>
      <c r="L7" s="532"/>
      <c r="M7" s="532"/>
      <c r="N7" s="532"/>
      <c r="O7" s="522"/>
      <c r="P7" s="522"/>
      <c r="Q7" s="522"/>
      <c r="R7" s="529"/>
      <c r="S7" s="529"/>
      <c r="T7" s="522"/>
      <c r="U7" s="522"/>
    </row>
    <row r="8" spans="1:31" ht="17.25" customHeight="1" x14ac:dyDescent="0.2">
      <c r="A8" s="533" t="s">
        <v>161</v>
      </c>
      <c r="B8" s="534"/>
      <c r="C8" s="534"/>
      <c r="D8" s="535"/>
      <c r="E8" s="873" t="s">
        <v>15</v>
      </c>
      <c r="F8" s="874"/>
      <c r="G8" s="875"/>
      <c r="H8" s="875"/>
      <c r="I8" s="874"/>
      <c r="J8" s="874"/>
      <c r="K8" s="874"/>
      <c r="L8" s="875"/>
      <c r="M8" s="875"/>
      <c r="N8" s="874"/>
      <c r="O8" s="874"/>
      <c r="P8" s="874"/>
      <c r="Q8" s="875"/>
      <c r="R8" s="874"/>
      <c r="S8" s="874"/>
      <c r="T8" s="876"/>
      <c r="U8" s="536"/>
    </row>
    <row r="9" spans="1:31" ht="16.5" customHeight="1" x14ac:dyDescent="0.2">
      <c r="A9" s="533" t="s">
        <v>162</v>
      </c>
      <c r="B9" s="534"/>
      <c r="C9" s="534"/>
      <c r="D9" s="537"/>
      <c r="E9" s="880" t="s">
        <v>163</v>
      </c>
      <c r="F9" s="881"/>
      <c r="G9" s="882"/>
      <c r="H9" s="882"/>
      <c r="I9" s="881"/>
      <c r="J9" s="881"/>
      <c r="K9" s="881"/>
      <c r="L9" s="882"/>
      <c r="M9" s="882"/>
      <c r="N9" s="881"/>
      <c r="O9" s="881"/>
      <c r="P9" s="881"/>
      <c r="Q9" s="882"/>
      <c r="R9" s="881"/>
      <c r="S9" s="881"/>
      <c r="T9" s="883"/>
      <c r="U9" s="538"/>
    </row>
    <row r="10" spans="1:31" ht="18.75" customHeight="1" x14ac:dyDescent="0.2">
      <c r="A10" s="890" t="s">
        <v>175</v>
      </c>
      <c r="B10" s="891"/>
      <c r="C10" s="892"/>
      <c r="D10" s="539"/>
      <c r="E10" s="873" t="s">
        <v>164</v>
      </c>
      <c r="F10" s="874"/>
      <c r="G10" s="875"/>
      <c r="H10" s="875"/>
      <c r="I10" s="874"/>
      <c r="J10" s="874"/>
      <c r="K10" s="874"/>
      <c r="L10" s="875"/>
      <c r="M10" s="875"/>
      <c r="N10" s="874"/>
      <c r="O10" s="874"/>
      <c r="P10" s="874"/>
      <c r="Q10" s="875"/>
      <c r="R10" s="874"/>
      <c r="S10" s="874"/>
      <c r="T10" s="876"/>
      <c r="U10" s="536"/>
    </row>
    <row r="11" spans="1:31" ht="21" customHeight="1" x14ac:dyDescent="0.2">
      <c r="A11" s="890" t="s">
        <v>176</v>
      </c>
      <c r="B11" s="891"/>
      <c r="C11" s="892"/>
      <c r="D11" s="539"/>
      <c r="E11" s="891" t="s">
        <v>165</v>
      </c>
      <c r="F11" s="891"/>
      <c r="G11" s="891"/>
      <c r="H11" s="891"/>
      <c r="I11" s="891"/>
      <c r="J11" s="891"/>
      <c r="K11" s="891"/>
      <c r="L11" s="891"/>
      <c r="M11" s="891"/>
      <c r="N11" s="891"/>
      <c r="O11" s="891"/>
      <c r="P11" s="891"/>
      <c r="Q11" s="891"/>
      <c r="R11" s="891"/>
      <c r="S11" s="891"/>
      <c r="T11" s="891"/>
      <c r="U11" s="536"/>
    </row>
    <row r="12" spans="1:31" ht="18" customHeight="1" x14ac:dyDescent="0.2">
      <c r="A12" s="540" t="s">
        <v>168</v>
      </c>
      <c r="B12" s="541"/>
      <c r="C12" s="542"/>
      <c r="D12" s="539"/>
      <c r="E12" s="877" t="s">
        <v>166</v>
      </c>
      <c r="F12" s="878"/>
      <c r="G12" s="878"/>
      <c r="H12" s="878"/>
      <c r="I12" s="878"/>
      <c r="J12" s="878"/>
      <c r="K12" s="878"/>
      <c r="L12" s="878"/>
      <c r="M12" s="878"/>
      <c r="N12" s="878"/>
      <c r="O12" s="878"/>
      <c r="P12" s="878"/>
      <c r="Q12" s="878"/>
      <c r="R12" s="878"/>
      <c r="S12" s="878"/>
      <c r="T12" s="879"/>
      <c r="U12" s="536"/>
    </row>
    <row r="13" spans="1:31" ht="18" customHeight="1" x14ac:dyDescent="0.2">
      <c r="A13" s="540" t="s">
        <v>168</v>
      </c>
      <c r="B13" s="541"/>
      <c r="C13" s="542"/>
      <c r="D13" s="539"/>
      <c r="E13" s="873" t="s">
        <v>167</v>
      </c>
      <c r="F13" s="874"/>
      <c r="G13" s="875"/>
      <c r="H13" s="875"/>
      <c r="I13" s="874"/>
      <c r="J13" s="874"/>
      <c r="K13" s="874"/>
      <c r="L13" s="875"/>
      <c r="M13" s="875"/>
      <c r="N13" s="874"/>
      <c r="O13" s="874"/>
      <c r="P13" s="874"/>
      <c r="Q13" s="875"/>
      <c r="R13" s="874"/>
      <c r="S13" s="874"/>
      <c r="T13" s="876"/>
      <c r="U13" s="536"/>
      <c r="AB13" s="949" t="s">
        <v>740</v>
      </c>
      <c r="AC13" s="950"/>
      <c r="AD13" s="951"/>
    </row>
    <row r="14" spans="1:31" ht="38.25" customHeight="1" x14ac:dyDescent="0.2">
      <c r="A14" s="832" t="s">
        <v>155</v>
      </c>
      <c r="B14" s="863" t="s">
        <v>156</v>
      </c>
      <c r="C14" s="832" t="s">
        <v>157</v>
      </c>
      <c r="D14" s="832" t="s">
        <v>158</v>
      </c>
      <c r="E14" s="863" t="s">
        <v>159</v>
      </c>
      <c r="F14" s="863" t="s">
        <v>0</v>
      </c>
      <c r="G14" s="832" t="s">
        <v>183</v>
      </c>
      <c r="H14" s="796"/>
      <c r="I14" s="904" t="s">
        <v>6</v>
      </c>
      <c r="J14" s="897" t="s">
        <v>7</v>
      </c>
      <c r="K14" s="888" t="s">
        <v>8</v>
      </c>
      <c r="L14" s="888" t="s">
        <v>250</v>
      </c>
      <c r="M14" s="888" t="s">
        <v>449</v>
      </c>
      <c r="N14" s="899" t="s">
        <v>9</v>
      </c>
      <c r="O14" s="900"/>
      <c r="P14" s="901"/>
      <c r="Q14" s="884" t="s">
        <v>217</v>
      </c>
      <c r="R14" s="902" t="s">
        <v>1</v>
      </c>
      <c r="S14" s="893" t="s">
        <v>2</v>
      </c>
      <c r="T14" s="895" t="s">
        <v>3</v>
      </c>
      <c r="U14" s="830" t="s">
        <v>313</v>
      </c>
      <c r="V14" s="849" t="s">
        <v>745</v>
      </c>
      <c r="W14" s="826"/>
      <c r="X14" s="850" t="s">
        <v>3</v>
      </c>
      <c r="Y14" s="847" t="s">
        <v>222</v>
      </c>
      <c r="Z14" s="861" t="s">
        <v>223</v>
      </c>
      <c r="AA14" s="822" t="s">
        <v>224</v>
      </c>
      <c r="AB14" s="543" t="s">
        <v>541</v>
      </c>
      <c r="AC14" s="544" t="s">
        <v>542</v>
      </c>
      <c r="AD14" s="544" t="s">
        <v>543</v>
      </c>
    </row>
    <row r="15" spans="1:31" ht="35.25" customHeight="1" x14ac:dyDescent="0.2">
      <c r="A15" s="864"/>
      <c r="B15" s="863"/>
      <c r="C15" s="864"/>
      <c r="D15" s="864"/>
      <c r="E15" s="863"/>
      <c r="F15" s="863"/>
      <c r="G15" s="833"/>
      <c r="H15" s="797" t="s">
        <v>309</v>
      </c>
      <c r="I15" s="904"/>
      <c r="J15" s="898"/>
      <c r="K15" s="889"/>
      <c r="L15" s="889"/>
      <c r="M15" s="889"/>
      <c r="N15" s="807" t="s">
        <v>10</v>
      </c>
      <c r="O15" s="807" t="s">
        <v>11</v>
      </c>
      <c r="P15" s="807" t="s">
        <v>12</v>
      </c>
      <c r="Q15" s="885"/>
      <c r="R15" s="903"/>
      <c r="S15" s="894"/>
      <c r="T15" s="896"/>
      <c r="U15" s="831"/>
      <c r="V15" s="545" t="s">
        <v>225</v>
      </c>
      <c r="W15" s="804" t="s">
        <v>226</v>
      </c>
      <c r="X15" s="850"/>
      <c r="Y15" s="848"/>
      <c r="Z15" s="862"/>
      <c r="AA15" s="822"/>
      <c r="AB15" s="543"/>
      <c r="AC15" s="544"/>
      <c r="AD15" s="543"/>
    </row>
    <row r="16" spans="1:31" ht="42" customHeight="1" x14ac:dyDescent="0.2">
      <c r="A16" s="844" t="str">
        <f>+E9</f>
        <v>1079  Investigación e innovación para el fortalecimiento de las comunidades de saber y práctica pedagógica.</v>
      </c>
      <c r="B16" s="844" t="s">
        <v>147</v>
      </c>
      <c r="C16" s="843" t="s">
        <v>132</v>
      </c>
      <c r="D16" s="841" t="s">
        <v>245</v>
      </c>
      <c r="E16" s="841" t="s">
        <v>719</v>
      </c>
      <c r="F16" s="859" t="s">
        <v>40</v>
      </c>
      <c r="G16" s="546">
        <v>164</v>
      </c>
      <c r="H16" s="546">
        <v>50</v>
      </c>
      <c r="I16" s="261" t="s">
        <v>234</v>
      </c>
      <c r="J16" s="547">
        <v>80111621</v>
      </c>
      <c r="K16" s="548" t="s">
        <v>80</v>
      </c>
      <c r="L16" s="548" t="s">
        <v>414</v>
      </c>
      <c r="M16" s="548" t="s">
        <v>589</v>
      </c>
      <c r="N16" s="549" t="s">
        <v>51</v>
      </c>
      <c r="O16" s="549">
        <v>9</v>
      </c>
      <c r="P16" s="550" t="s">
        <v>572</v>
      </c>
      <c r="Q16" s="550" t="s">
        <v>61</v>
      </c>
      <c r="R16" s="266">
        <f>73033983-O227</f>
        <v>73033983</v>
      </c>
      <c r="S16" s="267"/>
      <c r="T16" s="210">
        <f t="shared" ref="T16:T18" si="0">SUM(R16:S16)</f>
        <v>73033983</v>
      </c>
      <c r="U16" s="271">
        <v>1</v>
      </c>
      <c r="V16" s="210">
        <v>73033983</v>
      </c>
      <c r="W16" s="210"/>
      <c r="X16" s="210">
        <f>+V16+W16</f>
        <v>73033983</v>
      </c>
      <c r="Y16" s="551">
        <v>42794</v>
      </c>
      <c r="Z16" s="552">
        <v>18</v>
      </c>
      <c r="AA16" s="553" t="s">
        <v>257</v>
      </c>
      <c r="AB16" s="554"/>
      <c r="AC16" s="554"/>
      <c r="AD16" s="554"/>
      <c r="AE16" s="555"/>
    </row>
    <row r="17" spans="1:32" ht="45" customHeight="1" x14ac:dyDescent="0.2">
      <c r="A17" s="844"/>
      <c r="B17" s="844"/>
      <c r="C17" s="844"/>
      <c r="D17" s="841"/>
      <c r="E17" s="841"/>
      <c r="F17" s="869"/>
      <c r="G17" s="546">
        <v>165</v>
      </c>
      <c r="H17" s="546">
        <v>51</v>
      </c>
      <c r="I17" s="261" t="s">
        <v>235</v>
      </c>
      <c r="J17" s="547">
        <v>80111621</v>
      </c>
      <c r="K17" s="548" t="s">
        <v>80</v>
      </c>
      <c r="L17" s="548" t="s">
        <v>414</v>
      </c>
      <c r="M17" s="548" t="s">
        <v>589</v>
      </c>
      <c r="N17" s="549" t="s">
        <v>51</v>
      </c>
      <c r="O17" s="549">
        <v>9</v>
      </c>
      <c r="P17" s="550" t="s">
        <v>572</v>
      </c>
      <c r="Q17" s="550" t="s">
        <v>61</v>
      </c>
      <c r="R17" s="266">
        <f>53115624+6639453+13278906-6639453</f>
        <v>66394530</v>
      </c>
      <c r="S17" s="267"/>
      <c r="T17" s="210">
        <f t="shared" si="0"/>
        <v>66394530</v>
      </c>
      <c r="U17" s="271">
        <v>1</v>
      </c>
      <c r="V17" s="210">
        <v>66394530</v>
      </c>
      <c r="W17" s="210"/>
      <c r="X17" s="210">
        <f>+V17+W17</f>
        <v>66394530</v>
      </c>
      <c r="Y17" s="551">
        <v>42794</v>
      </c>
      <c r="Z17" s="552">
        <v>19</v>
      </c>
      <c r="AA17" s="553" t="s">
        <v>258</v>
      </c>
      <c r="AB17" s="554"/>
      <c r="AC17" s="554"/>
      <c r="AD17" s="554"/>
      <c r="AE17" s="555"/>
    </row>
    <row r="18" spans="1:32" ht="73.5" customHeight="1" x14ac:dyDescent="0.2">
      <c r="A18" s="844"/>
      <c r="B18" s="844"/>
      <c r="C18" s="844"/>
      <c r="D18" s="841"/>
      <c r="E18" s="841"/>
      <c r="F18" s="869"/>
      <c r="G18" s="546">
        <v>204</v>
      </c>
      <c r="H18" s="546">
        <v>52</v>
      </c>
      <c r="I18" s="262" t="s">
        <v>331</v>
      </c>
      <c r="J18" s="548" t="s">
        <v>616</v>
      </c>
      <c r="K18" s="548" t="s">
        <v>121</v>
      </c>
      <c r="L18" s="548" t="s">
        <v>415</v>
      </c>
      <c r="M18" s="548" t="s">
        <v>591</v>
      </c>
      <c r="N18" s="549" t="s">
        <v>63</v>
      </c>
      <c r="O18" s="549">
        <v>8</v>
      </c>
      <c r="P18" s="550" t="s">
        <v>572</v>
      </c>
      <c r="Q18" s="550" t="s">
        <v>61</v>
      </c>
      <c r="R18" s="266">
        <f>44408759+2704962</f>
        <v>47113721</v>
      </c>
      <c r="S18" s="267"/>
      <c r="T18" s="210">
        <f t="shared" si="0"/>
        <v>47113721</v>
      </c>
      <c r="U18" s="271">
        <v>1</v>
      </c>
      <c r="V18" s="210">
        <v>47113721</v>
      </c>
      <c r="W18" s="210"/>
      <c r="X18" s="210">
        <f>+V18+W18</f>
        <v>47113721</v>
      </c>
      <c r="Y18" s="551">
        <v>42843</v>
      </c>
      <c r="Z18" s="552">
        <v>45</v>
      </c>
      <c r="AA18" s="556" t="s">
        <v>394</v>
      </c>
      <c r="AB18" s="554"/>
      <c r="AC18" s="554"/>
      <c r="AD18" s="554"/>
      <c r="AF18" s="555"/>
    </row>
    <row r="19" spans="1:32" ht="38.25" customHeight="1" x14ac:dyDescent="0.2">
      <c r="A19" s="844"/>
      <c r="B19" s="844"/>
      <c r="C19" s="844"/>
      <c r="D19" s="841"/>
      <c r="E19" s="841"/>
      <c r="F19" s="869"/>
      <c r="G19" s="546">
        <v>166</v>
      </c>
      <c r="H19" s="546">
        <v>54</v>
      </c>
      <c r="I19" s="263" t="s">
        <v>236</v>
      </c>
      <c r="J19" s="548">
        <v>80111601</v>
      </c>
      <c r="K19" s="548" t="s">
        <v>439</v>
      </c>
      <c r="L19" s="548" t="s">
        <v>414</v>
      </c>
      <c r="M19" s="548" t="s">
        <v>589</v>
      </c>
      <c r="N19" s="549" t="s">
        <v>63</v>
      </c>
      <c r="O19" s="549">
        <v>9</v>
      </c>
      <c r="P19" s="550" t="s">
        <v>572</v>
      </c>
      <c r="Q19" s="550" t="s">
        <v>61</v>
      </c>
      <c r="R19" s="266">
        <f>73033983-2704962</f>
        <v>70329021</v>
      </c>
      <c r="S19" s="267"/>
      <c r="T19" s="210">
        <f>+R19+S19</f>
        <v>70329021</v>
      </c>
      <c r="U19" s="271">
        <v>1</v>
      </c>
      <c r="V19" s="210">
        <v>70329021</v>
      </c>
      <c r="W19" s="210"/>
      <c r="X19" s="210">
        <f>+V19+W19</f>
        <v>70329021</v>
      </c>
      <c r="Y19" s="551">
        <v>42821</v>
      </c>
      <c r="Z19" s="553">
        <v>39</v>
      </c>
      <c r="AA19" s="553" t="s">
        <v>327</v>
      </c>
      <c r="AB19" s="554"/>
      <c r="AC19" s="554"/>
      <c r="AD19" s="554"/>
    </row>
    <row r="20" spans="1:32" ht="14.25" customHeight="1" x14ac:dyDescent="0.25">
      <c r="A20" s="844"/>
      <c r="B20" s="844"/>
      <c r="C20" s="844"/>
      <c r="D20" s="841"/>
      <c r="E20" s="841"/>
      <c r="F20" s="860"/>
      <c r="G20" s="851" t="s">
        <v>170</v>
      </c>
      <c r="H20" s="852"/>
      <c r="I20" s="852"/>
      <c r="J20" s="852"/>
      <c r="K20" s="852"/>
      <c r="L20" s="852"/>
      <c r="M20" s="852"/>
      <c r="N20" s="852"/>
      <c r="O20" s="557"/>
      <c r="P20" s="558"/>
      <c r="Q20" s="806"/>
      <c r="R20" s="268">
        <f>SUM(R16:R19)</f>
        <v>256871255</v>
      </c>
      <c r="S20" s="268">
        <f t="shared" ref="S20:T20" si="1">SUM(S16:S19)</f>
        <v>0</v>
      </c>
      <c r="T20" s="268">
        <f t="shared" si="1"/>
        <v>256871255</v>
      </c>
      <c r="U20" s="559"/>
      <c r="V20" s="268">
        <f>SUM(V16:V19)</f>
        <v>256871255</v>
      </c>
      <c r="W20" s="268">
        <f t="shared" ref="W20" si="2">SUM(W16:W18)</f>
        <v>0</v>
      </c>
      <c r="X20" s="268">
        <f>+V20+W20</f>
        <v>256871255</v>
      </c>
      <c r="Y20" s="560"/>
      <c r="Z20" s="268"/>
      <c r="AA20" s="268"/>
      <c r="AB20" s="561"/>
      <c r="AC20" s="562">
        <v>158148422</v>
      </c>
      <c r="AD20" s="563">
        <f>+AB20+AC20</f>
        <v>158148422</v>
      </c>
    </row>
    <row r="21" spans="1:32" ht="17.25" customHeight="1" x14ac:dyDescent="0.25">
      <c r="A21" s="844"/>
      <c r="B21" s="844"/>
      <c r="C21" s="844"/>
      <c r="D21" s="841"/>
      <c r="E21" s="841"/>
      <c r="F21" s="886" t="s">
        <v>13</v>
      </c>
      <c r="G21" s="887"/>
      <c r="H21" s="887"/>
      <c r="I21" s="887"/>
      <c r="J21" s="887"/>
      <c r="K21" s="887"/>
      <c r="L21" s="887"/>
      <c r="M21" s="887"/>
      <c r="N21" s="887"/>
      <c r="O21" s="564"/>
      <c r="P21" s="565"/>
      <c r="Q21" s="802"/>
      <c r="R21" s="269">
        <f>+R20</f>
        <v>256871255</v>
      </c>
      <c r="S21" s="269">
        <f t="shared" ref="S21:T21" si="3">+S20</f>
        <v>0</v>
      </c>
      <c r="T21" s="269">
        <f t="shared" si="3"/>
        <v>256871255</v>
      </c>
      <c r="U21" s="566"/>
      <c r="V21" s="269">
        <f>+V20</f>
        <v>256871255</v>
      </c>
      <c r="W21" s="269">
        <f t="shared" ref="W21:X21" si="4">+W20</f>
        <v>0</v>
      </c>
      <c r="X21" s="269">
        <f t="shared" si="4"/>
        <v>256871255</v>
      </c>
      <c r="Y21" s="567"/>
      <c r="Z21" s="269"/>
      <c r="AA21" s="269"/>
      <c r="AB21" s="568"/>
      <c r="AC21" s="569">
        <f>+AC20</f>
        <v>158148422</v>
      </c>
      <c r="AD21" s="569">
        <f>+AC21</f>
        <v>158148422</v>
      </c>
      <c r="AE21" s="620"/>
    </row>
    <row r="22" spans="1:32" ht="33" customHeight="1" x14ac:dyDescent="0.2">
      <c r="A22" s="844"/>
      <c r="B22" s="844"/>
      <c r="C22" s="844"/>
      <c r="D22" s="843" t="s">
        <v>196</v>
      </c>
      <c r="E22" s="843" t="s">
        <v>195</v>
      </c>
      <c r="F22" s="859" t="s">
        <v>232</v>
      </c>
      <c r="G22" s="546">
        <v>125</v>
      </c>
      <c r="H22" s="546">
        <v>55</v>
      </c>
      <c r="I22" s="264" t="s">
        <v>197</v>
      </c>
      <c r="J22" s="547">
        <v>80111621</v>
      </c>
      <c r="K22" s="546" t="s">
        <v>81</v>
      </c>
      <c r="L22" s="548" t="s">
        <v>416</v>
      </c>
      <c r="M22" s="570" t="s">
        <v>592</v>
      </c>
      <c r="N22" s="546" t="s">
        <v>51</v>
      </c>
      <c r="O22" s="546">
        <v>4</v>
      </c>
      <c r="P22" s="550" t="s">
        <v>572</v>
      </c>
      <c r="Q22" s="546" t="s">
        <v>61</v>
      </c>
      <c r="R22" s="210">
        <v>26557812</v>
      </c>
      <c r="S22" s="210"/>
      <c r="T22" s="210">
        <f>+R22</f>
        <v>26557812</v>
      </c>
      <c r="U22" s="271">
        <v>1</v>
      </c>
      <c r="V22" s="270">
        <v>26557812</v>
      </c>
      <c r="W22" s="271"/>
      <c r="X22" s="210">
        <f>+V22+W22</f>
        <v>26557812</v>
      </c>
      <c r="Y22" s="571">
        <v>42793</v>
      </c>
      <c r="Z22" s="572">
        <v>8</v>
      </c>
      <c r="AA22" s="554" t="s">
        <v>259</v>
      </c>
      <c r="AB22" s="554"/>
      <c r="AC22" s="554"/>
      <c r="AD22" s="554"/>
    </row>
    <row r="23" spans="1:32" ht="34.5" customHeight="1" x14ac:dyDescent="0.2">
      <c r="A23" s="844"/>
      <c r="B23" s="844"/>
      <c r="C23" s="844"/>
      <c r="D23" s="844"/>
      <c r="E23" s="844"/>
      <c r="F23" s="869"/>
      <c r="G23" s="546">
        <v>286</v>
      </c>
      <c r="H23" s="546">
        <v>56</v>
      </c>
      <c r="I23" s="205" t="s">
        <v>539</v>
      </c>
      <c r="J23" s="547">
        <v>80111621</v>
      </c>
      <c r="K23" s="546" t="s">
        <v>86</v>
      </c>
      <c r="L23" s="548"/>
      <c r="M23" s="548" t="s">
        <v>593</v>
      </c>
      <c r="N23" s="546" t="s">
        <v>58</v>
      </c>
      <c r="O23" s="546">
        <v>5</v>
      </c>
      <c r="P23" s="550" t="s">
        <v>572</v>
      </c>
      <c r="Q23" s="546"/>
      <c r="R23" s="210">
        <v>33197265</v>
      </c>
      <c r="S23" s="210"/>
      <c r="T23" s="210">
        <f>+R23+S23</f>
        <v>33197265</v>
      </c>
      <c r="U23" s="271"/>
      <c r="V23" s="270">
        <v>33197265</v>
      </c>
      <c r="W23" s="270"/>
      <c r="X23" s="270">
        <f>+V23+W23</f>
        <v>33197265</v>
      </c>
      <c r="Y23" s="573">
        <v>42956</v>
      </c>
      <c r="Z23" s="572">
        <v>105</v>
      </c>
      <c r="AA23" s="554" t="s">
        <v>689</v>
      </c>
      <c r="AB23" s="554"/>
      <c r="AC23" s="554"/>
      <c r="AD23" s="554"/>
    </row>
    <row r="24" spans="1:32" ht="45.75" customHeight="1" x14ac:dyDescent="0.2">
      <c r="A24" s="844"/>
      <c r="B24" s="844"/>
      <c r="C24" s="844"/>
      <c r="D24" s="844"/>
      <c r="E24" s="844"/>
      <c r="F24" s="869"/>
      <c r="G24" s="546">
        <v>167</v>
      </c>
      <c r="H24" s="546">
        <v>57</v>
      </c>
      <c r="I24" s="205" t="s">
        <v>237</v>
      </c>
      <c r="J24" s="547">
        <v>80111621</v>
      </c>
      <c r="K24" s="574" t="s">
        <v>80</v>
      </c>
      <c r="L24" s="548" t="s">
        <v>414</v>
      </c>
      <c r="M24" s="548" t="s">
        <v>589</v>
      </c>
      <c r="N24" s="575" t="s">
        <v>51</v>
      </c>
      <c r="O24" s="576">
        <v>9</v>
      </c>
      <c r="P24" s="550" t="s">
        <v>572</v>
      </c>
      <c r="Q24" s="575" t="s">
        <v>61</v>
      </c>
      <c r="R24" s="270">
        <f>(737717*9*4)+33197265</f>
        <v>59755077</v>
      </c>
      <c r="S24" s="271"/>
      <c r="T24" s="210">
        <f>SUM(R24:S24)</f>
        <v>59755077</v>
      </c>
      <c r="U24" s="271">
        <v>1</v>
      </c>
      <c r="V24" s="270">
        <f t="shared" ref="V24:V26" si="5">(737717*9*4)+33197265</f>
        <v>59755077</v>
      </c>
      <c r="W24" s="271"/>
      <c r="X24" s="210">
        <f t="shared" ref="X24:X26" si="6">SUM(V24:W24)</f>
        <v>59755077</v>
      </c>
      <c r="Y24" s="571">
        <v>42794</v>
      </c>
      <c r="Z24" s="572">
        <v>16</v>
      </c>
      <c r="AA24" s="554" t="s">
        <v>262</v>
      </c>
      <c r="AB24" s="554"/>
      <c r="AC24" s="554"/>
      <c r="AD24" s="554"/>
    </row>
    <row r="25" spans="1:32" ht="45" customHeight="1" x14ac:dyDescent="0.2">
      <c r="A25" s="844"/>
      <c r="B25" s="844"/>
      <c r="C25" s="844"/>
      <c r="D25" s="844"/>
      <c r="E25" s="844"/>
      <c r="F25" s="869"/>
      <c r="G25" s="546">
        <v>168</v>
      </c>
      <c r="H25" s="546">
        <v>60</v>
      </c>
      <c r="I25" s="205" t="s">
        <v>238</v>
      </c>
      <c r="J25" s="547">
        <v>80111621</v>
      </c>
      <c r="K25" s="577" t="s">
        <v>80</v>
      </c>
      <c r="L25" s="548" t="s">
        <v>414</v>
      </c>
      <c r="M25" s="548" t="s">
        <v>589</v>
      </c>
      <c r="N25" s="575" t="s">
        <v>51</v>
      </c>
      <c r="O25" s="576">
        <v>9</v>
      </c>
      <c r="P25" s="550" t="s">
        <v>572</v>
      </c>
      <c r="Q25" s="575" t="s">
        <v>61</v>
      </c>
      <c r="R25" s="270">
        <f>(737717*9*4)+33197265</f>
        <v>59755077</v>
      </c>
      <c r="S25" s="271"/>
      <c r="T25" s="210">
        <f t="shared" ref="T25:T29" si="7">SUM(R25:S25)</f>
        <v>59755077</v>
      </c>
      <c r="U25" s="271">
        <v>1</v>
      </c>
      <c r="V25" s="270">
        <f t="shared" si="5"/>
        <v>59755077</v>
      </c>
      <c r="W25" s="271"/>
      <c r="X25" s="210">
        <f t="shared" si="6"/>
        <v>59755077</v>
      </c>
      <c r="Y25" s="571">
        <v>42794</v>
      </c>
      <c r="Z25" s="572">
        <v>15</v>
      </c>
      <c r="AA25" s="554" t="s">
        <v>261</v>
      </c>
      <c r="AB25" s="554"/>
      <c r="AC25" s="554"/>
      <c r="AD25" s="554"/>
    </row>
    <row r="26" spans="1:32" ht="56.25" customHeight="1" x14ac:dyDescent="0.2">
      <c r="A26" s="844"/>
      <c r="B26" s="844"/>
      <c r="C26" s="844"/>
      <c r="D26" s="844"/>
      <c r="E26" s="844"/>
      <c r="F26" s="869"/>
      <c r="G26" s="546">
        <v>173</v>
      </c>
      <c r="H26" s="546"/>
      <c r="I26" s="205" t="s">
        <v>239</v>
      </c>
      <c r="J26" s="547">
        <v>80111622</v>
      </c>
      <c r="K26" s="577" t="s">
        <v>80</v>
      </c>
      <c r="L26" s="548" t="s">
        <v>414</v>
      </c>
      <c r="M26" s="548" t="s">
        <v>589</v>
      </c>
      <c r="N26" s="575" t="s">
        <v>51</v>
      </c>
      <c r="O26" s="576">
        <v>9</v>
      </c>
      <c r="P26" s="550" t="s">
        <v>572</v>
      </c>
      <c r="Q26" s="575" t="s">
        <v>61</v>
      </c>
      <c r="R26" s="270">
        <v>59755077</v>
      </c>
      <c r="S26" s="271"/>
      <c r="T26" s="210">
        <f>+R26+S26</f>
        <v>59755077</v>
      </c>
      <c r="U26" s="271">
        <v>1</v>
      </c>
      <c r="V26" s="270">
        <f t="shared" si="5"/>
        <v>59755077</v>
      </c>
      <c r="W26" s="271"/>
      <c r="X26" s="210">
        <f t="shared" si="6"/>
        <v>59755077</v>
      </c>
      <c r="Y26" s="571">
        <v>42794</v>
      </c>
      <c r="Z26" s="572">
        <v>14</v>
      </c>
      <c r="AA26" s="554" t="s">
        <v>260</v>
      </c>
      <c r="AB26" s="554"/>
      <c r="AC26" s="554"/>
      <c r="AD26" s="554"/>
    </row>
    <row r="27" spans="1:32" ht="40.5" customHeight="1" x14ac:dyDescent="0.2">
      <c r="A27" s="844"/>
      <c r="B27" s="844"/>
      <c r="C27" s="844"/>
      <c r="D27" s="844"/>
      <c r="E27" s="844"/>
      <c r="F27" s="869"/>
      <c r="G27" s="546">
        <v>51</v>
      </c>
      <c r="H27" s="546"/>
      <c r="I27" s="205" t="s">
        <v>115</v>
      </c>
      <c r="J27" s="547">
        <v>80111621</v>
      </c>
      <c r="K27" s="577" t="s">
        <v>80</v>
      </c>
      <c r="L27" s="548" t="s">
        <v>414</v>
      </c>
      <c r="M27" s="548" t="s">
        <v>589</v>
      </c>
      <c r="N27" s="575" t="s">
        <v>51</v>
      </c>
      <c r="O27" s="576">
        <v>9</v>
      </c>
      <c r="P27" s="550" t="s">
        <v>572</v>
      </c>
      <c r="Q27" s="575" t="s">
        <v>61</v>
      </c>
      <c r="R27" s="270">
        <f>(737717*11*9)</f>
        <v>73033983</v>
      </c>
      <c r="S27" s="271"/>
      <c r="T27" s="210">
        <f t="shared" si="7"/>
        <v>73033983</v>
      </c>
      <c r="U27" s="271">
        <v>1</v>
      </c>
      <c r="V27" s="270">
        <v>73033983</v>
      </c>
      <c r="W27" s="271"/>
      <c r="X27" s="210">
        <f>+V27+W27</f>
        <v>73033983</v>
      </c>
      <c r="Y27" s="571">
        <v>42796</v>
      </c>
      <c r="Z27" s="572">
        <v>20</v>
      </c>
      <c r="AA27" s="554" t="s">
        <v>273</v>
      </c>
      <c r="AB27" s="554"/>
      <c r="AC27" s="554"/>
      <c r="AD27" s="554"/>
    </row>
    <row r="28" spans="1:32" ht="61.5" customHeight="1" x14ac:dyDescent="0.2">
      <c r="A28" s="844"/>
      <c r="B28" s="844"/>
      <c r="C28" s="844"/>
      <c r="D28" s="844"/>
      <c r="E28" s="844"/>
      <c r="F28" s="869"/>
      <c r="G28" s="578">
        <v>276</v>
      </c>
      <c r="H28" s="546"/>
      <c r="I28" s="205" t="s">
        <v>495</v>
      </c>
      <c r="J28" s="547">
        <v>80111621</v>
      </c>
      <c r="K28" s="579" t="s">
        <v>80</v>
      </c>
      <c r="L28" s="548" t="s">
        <v>414</v>
      </c>
      <c r="M28" s="548" t="s">
        <v>589</v>
      </c>
      <c r="N28" s="550" t="s">
        <v>118</v>
      </c>
      <c r="O28" s="580">
        <v>5</v>
      </c>
      <c r="P28" s="550" t="s">
        <v>572</v>
      </c>
      <c r="Q28" s="575" t="s">
        <v>61</v>
      </c>
      <c r="R28" s="270">
        <v>206500000</v>
      </c>
      <c r="S28" s="271"/>
      <c r="T28" s="210">
        <f t="shared" si="7"/>
        <v>206500000</v>
      </c>
      <c r="U28" s="271"/>
      <c r="V28" s="270">
        <v>206500000</v>
      </c>
      <c r="W28" s="271"/>
      <c r="X28" s="210">
        <f>+V28+W28</f>
        <v>206500000</v>
      </c>
      <c r="Y28" s="581" t="s">
        <v>526</v>
      </c>
      <c r="Z28" s="582">
        <v>93</v>
      </c>
      <c r="AA28" s="583" t="s">
        <v>525</v>
      </c>
      <c r="AB28" s="554"/>
      <c r="AC28" s="554"/>
      <c r="AD28" s="554"/>
    </row>
    <row r="29" spans="1:32" ht="32.25" customHeight="1" x14ac:dyDescent="0.2">
      <c r="A29" s="844"/>
      <c r="B29" s="844"/>
      <c r="C29" s="844"/>
      <c r="D29" s="844"/>
      <c r="E29" s="844"/>
      <c r="F29" s="869"/>
      <c r="G29" s="546">
        <v>53</v>
      </c>
      <c r="H29" s="546"/>
      <c r="I29" s="265" t="s">
        <v>116</v>
      </c>
      <c r="J29" s="547">
        <v>80111601</v>
      </c>
      <c r="K29" s="577" t="s">
        <v>80</v>
      </c>
      <c r="L29" s="548" t="s">
        <v>414</v>
      </c>
      <c r="M29" s="548" t="s">
        <v>589</v>
      </c>
      <c r="N29" s="575" t="s">
        <v>72</v>
      </c>
      <c r="O29" s="576">
        <v>11</v>
      </c>
      <c r="P29" s="550" t="s">
        <v>572</v>
      </c>
      <c r="Q29" s="575" t="s">
        <v>61</v>
      </c>
      <c r="R29" s="270">
        <f>(737717*5*11)</f>
        <v>40574435</v>
      </c>
      <c r="S29" s="271"/>
      <c r="T29" s="210">
        <f t="shared" si="7"/>
        <v>40574435</v>
      </c>
      <c r="U29" s="271">
        <v>1</v>
      </c>
      <c r="V29" s="584">
        <f>+R29</f>
        <v>40574435</v>
      </c>
      <c r="W29" s="584">
        <f>+S29</f>
        <v>0</v>
      </c>
      <c r="X29" s="584">
        <f>+V29+W29</f>
        <v>40574435</v>
      </c>
      <c r="Y29" s="571">
        <v>42766</v>
      </c>
      <c r="Z29" s="552">
        <v>2</v>
      </c>
      <c r="AA29" s="554" t="s">
        <v>229</v>
      </c>
      <c r="AB29" s="554"/>
      <c r="AC29" s="554"/>
      <c r="AD29" s="554"/>
    </row>
    <row r="30" spans="1:32" ht="20.25" customHeight="1" x14ac:dyDescent="0.25">
      <c r="A30" s="844"/>
      <c r="B30" s="844"/>
      <c r="C30" s="844"/>
      <c r="D30" s="844"/>
      <c r="E30" s="844"/>
      <c r="F30" s="585"/>
      <c r="G30" s="851" t="s">
        <v>170</v>
      </c>
      <c r="H30" s="852"/>
      <c r="I30" s="852"/>
      <c r="J30" s="852"/>
      <c r="K30" s="852"/>
      <c r="L30" s="852"/>
      <c r="M30" s="852"/>
      <c r="N30" s="852"/>
      <c r="O30" s="557"/>
      <c r="P30" s="558"/>
      <c r="Q30" s="806"/>
      <c r="R30" s="268">
        <f>SUM(R22:R29)</f>
        <v>559128726</v>
      </c>
      <c r="S30" s="268">
        <f>SUM(S22:S29)</f>
        <v>0</v>
      </c>
      <c r="T30" s="268">
        <f>SUM(T22:T29)</f>
        <v>559128726</v>
      </c>
      <c r="U30" s="559"/>
      <c r="V30" s="268">
        <f>SUM(V22:V29)</f>
        <v>559128726</v>
      </c>
      <c r="W30" s="268">
        <f>SUM(W22:W29)</f>
        <v>0</v>
      </c>
      <c r="X30" s="268">
        <f>SUM(X22:X29)</f>
        <v>559128726</v>
      </c>
      <c r="Y30" s="560"/>
      <c r="Z30" s="268"/>
      <c r="AA30" s="268"/>
      <c r="AB30" s="561"/>
      <c r="AC30" s="586">
        <v>449503977</v>
      </c>
      <c r="AD30" s="586">
        <f>+AC30</f>
        <v>449503977</v>
      </c>
    </row>
    <row r="31" spans="1:32" ht="12.75" customHeight="1" x14ac:dyDescent="0.25">
      <c r="A31" s="845"/>
      <c r="B31" s="844"/>
      <c r="C31" s="844"/>
      <c r="D31" s="845"/>
      <c r="E31" s="845"/>
      <c r="F31" s="839" t="s">
        <v>13</v>
      </c>
      <c r="G31" s="839"/>
      <c r="H31" s="839"/>
      <c r="I31" s="839"/>
      <c r="J31" s="839"/>
      <c r="K31" s="839"/>
      <c r="L31" s="839"/>
      <c r="M31" s="839"/>
      <c r="N31" s="839"/>
      <c r="O31" s="564"/>
      <c r="P31" s="565"/>
      <c r="Q31" s="802"/>
      <c r="R31" s="269">
        <f>+R30</f>
        <v>559128726</v>
      </c>
      <c r="S31" s="269">
        <f t="shared" ref="S31:T31" si="8">+S30</f>
        <v>0</v>
      </c>
      <c r="T31" s="269">
        <f t="shared" si="8"/>
        <v>559128726</v>
      </c>
      <c r="U31" s="566"/>
      <c r="V31" s="269">
        <f>+V30</f>
        <v>559128726</v>
      </c>
      <c r="W31" s="269">
        <f t="shared" ref="W31:X31" si="9">+W30</f>
        <v>0</v>
      </c>
      <c r="X31" s="269">
        <f t="shared" si="9"/>
        <v>559128726</v>
      </c>
      <c r="Y31" s="567"/>
      <c r="Z31" s="269"/>
      <c r="AA31" s="269"/>
      <c r="AB31" s="568">
        <f>+AB30</f>
        <v>0</v>
      </c>
      <c r="AC31" s="569">
        <f>+AC30</f>
        <v>449503977</v>
      </c>
      <c r="AD31" s="569">
        <f>+AB31+AC31</f>
        <v>449503977</v>
      </c>
    </row>
    <row r="32" spans="1:32" ht="1.5" customHeight="1" x14ac:dyDescent="0.2">
      <c r="A32" s="587" t="str">
        <f>+A16</f>
        <v>1079  Investigación e innovación para el fortalecimiento de las comunidades de saber y práctica pedagógica.</v>
      </c>
      <c r="B32" s="588" t="str">
        <f>+B16</f>
        <v>Codigo 383 
Un sistema de seguimiento a la Política Educativa Distrital en los contestos Escolare Ajustado e Implementado</v>
      </c>
      <c r="C32" s="588" t="str">
        <f>+C16</f>
        <v>Componente No.1 "Sistema de Seguimiento a la política educativa distrital en los contextos escolares."</v>
      </c>
      <c r="D32" s="587" t="s">
        <v>36</v>
      </c>
      <c r="E32" s="587" t="s">
        <v>363</v>
      </c>
      <c r="F32" s="870" t="s">
        <v>199</v>
      </c>
      <c r="G32" s="546">
        <v>131</v>
      </c>
      <c r="H32" s="546"/>
      <c r="I32" s="205" t="s">
        <v>200</v>
      </c>
      <c r="J32" s="589">
        <v>80111621</v>
      </c>
      <c r="K32" s="816" t="s">
        <v>86</v>
      </c>
      <c r="L32" s="548"/>
      <c r="M32" s="548"/>
      <c r="N32" s="816" t="s">
        <v>63</v>
      </c>
      <c r="O32" s="816">
        <v>9</v>
      </c>
      <c r="P32" s="550" t="s">
        <v>572</v>
      </c>
      <c r="Q32" s="816" t="s">
        <v>61</v>
      </c>
      <c r="R32" s="590">
        <f>50000000-50000000</f>
        <v>0</v>
      </c>
      <c r="S32" s="590"/>
      <c r="T32" s="590">
        <f>+R32+S32</f>
        <v>0</v>
      </c>
      <c r="U32" s="591"/>
      <c r="V32" s="590"/>
      <c r="W32" s="590"/>
      <c r="X32" s="590"/>
      <c r="Y32" s="592"/>
      <c r="Z32" s="590"/>
      <c r="AA32" s="590"/>
      <c r="AB32" s="554"/>
      <c r="AC32" s="554"/>
      <c r="AD32" s="554"/>
    </row>
    <row r="33" spans="1:30" ht="15" customHeight="1" x14ac:dyDescent="0.2">
      <c r="A33" s="588"/>
      <c r="B33" s="588"/>
      <c r="C33" s="588"/>
      <c r="D33" s="588"/>
      <c r="E33" s="588"/>
      <c r="F33" s="871"/>
      <c r="G33" s="851" t="s">
        <v>170</v>
      </c>
      <c r="H33" s="852"/>
      <c r="I33" s="852"/>
      <c r="J33" s="557"/>
      <c r="K33" s="557"/>
      <c r="L33" s="557"/>
      <c r="M33" s="557"/>
      <c r="N33" s="557"/>
      <c r="O33" s="557"/>
      <c r="P33" s="593"/>
      <c r="Q33" s="805"/>
      <c r="R33" s="214">
        <f>+R32</f>
        <v>0</v>
      </c>
      <c r="S33" s="214"/>
      <c r="T33" s="214">
        <f>+T32</f>
        <v>0</v>
      </c>
      <c r="U33" s="594"/>
      <c r="V33" s="214">
        <f>+V32</f>
        <v>0</v>
      </c>
      <c r="W33" s="214">
        <f t="shared" ref="W33:X33" si="10">+W32</f>
        <v>0</v>
      </c>
      <c r="X33" s="214">
        <f t="shared" si="10"/>
        <v>0</v>
      </c>
      <c r="Y33" s="595"/>
      <c r="Z33" s="214"/>
      <c r="AA33" s="214"/>
      <c r="AB33" s="561"/>
      <c r="AC33" s="561"/>
      <c r="AD33" s="561"/>
    </row>
    <row r="34" spans="1:30" ht="39.75" customHeight="1" x14ac:dyDescent="0.2">
      <c r="A34" s="844" t="str">
        <f>+A16</f>
        <v>1079  Investigación e innovación para el fortalecimiento de las comunidades de saber y práctica pedagógica.</v>
      </c>
      <c r="B34" s="844" t="str">
        <f t="shared" ref="B34:C34" si="11">+B16</f>
        <v>Codigo 383 
Un sistema de seguimiento a la Política Educativa Distrital en los contestos Escolare Ajustado e Implementado</v>
      </c>
      <c r="C34" s="844" t="str">
        <f t="shared" si="11"/>
        <v>Componente No.1 "Sistema de Seguimiento a la política educativa distrital en los contextos escolares."</v>
      </c>
      <c r="D34" s="844" t="str">
        <f>+D22</f>
        <v>Realizar cinco (5) estudios Sistema de seguimiento a la política educativa distrital en los contextos escolares.</v>
      </c>
      <c r="E34" s="844" t="str">
        <f>+E32</f>
        <v>Realizar 3 Estudios en Escuela currículo y pedagogía, Educación y políticas públicas y Cualificación docente</v>
      </c>
      <c r="F34" s="859" t="s">
        <v>332</v>
      </c>
      <c r="G34" s="596">
        <v>287</v>
      </c>
      <c r="H34" s="597"/>
      <c r="I34" s="235" t="s">
        <v>531</v>
      </c>
      <c r="J34" s="589">
        <v>80111621</v>
      </c>
      <c r="K34" s="816" t="s">
        <v>122</v>
      </c>
      <c r="L34" s="548"/>
      <c r="M34" s="816" t="s">
        <v>594</v>
      </c>
      <c r="N34" s="816" t="s">
        <v>325</v>
      </c>
      <c r="O34" s="816">
        <v>5</v>
      </c>
      <c r="P34" s="550" t="s">
        <v>572</v>
      </c>
      <c r="Q34" s="598"/>
      <c r="R34" s="599">
        <f>4288000*5</f>
        <v>21440000</v>
      </c>
      <c r="S34" s="590"/>
      <c r="T34" s="590">
        <f>+R34+S34</f>
        <v>21440000</v>
      </c>
      <c r="U34" s="591"/>
      <c r="V34" s="590">
        <v>21440000</v>
      </c>
      <c r="W34" s="590"/>
      <c r="X34" s="590">
        <f>+V34+W34</f>
        <v>21440000</v>
      </c>
      <c r="Y34" s="592">
        <v>42956</v>
      </c>
      <c r="Z34" s="553">
        <v>104</v>
      </c>
      <c r="AA34" s="553" t="s">
        <v>688</v>
      </c>
      <c r="AB34" s="554"/>
      <c r="AC34" s="554"/>
      <c r="AD34" s="554"/>
    </row>
    <row r="35" spans="1:30" ht="37.5" customHeight="1" x14ac:dyDescent="0.2">
      <c r="A35" s="844"/>
      <c r="B35" s="844"/>
      <c r="C35" s="844"/>
      <c r="D35" s="844"/>
      <c r="E35" s="844"/>
      <c r="F35" s="869"/>
      <c r="G35" s="596">
        <v>288</v>
      </c>
      <c r="H35" s="597"/>
      <c r="I35" s="235" t="s">
        <v>532</v>
      </c>
      <c r="J35" s="589">
        <v>80111621</v>
      </c>
      <c r="K35" s="816" t="s">
        <v>122</v>
      </c>
      <c r="L35" s="548"/>
      <c r="M35" s="816" t="s">
        <v>594</v>
      </c>
      <c r="N35" s="816" t="s">
        <v>58</v>
      </c>
      <c r="O35" s="816">
        <v>4</v>
      </c>
      <c r="P35" s="550" t="s">
        <v>572</v>
      </c>
      <c r="Q35" s="598"/>
      <c r="R35" s="266">
        <f>4220000*4</f>
        <v>16880000</v>
      </c>
      <c r="S35" s="590"/>
      <c r="T35" s="590">
        <f t="shared" ref="T35:T40" si="12">+R35+S35</f>
        <v>16880000</v>
      </c>
      <c r="U35" s="591"/>
      <c r="V35" s="590">
        <v>16880000</v>
      </c>
      <c r="W35" s="590"/>
      <c r="X35" s="590">
        <v>16880000</v>
      </c>
      <c r="Y35" s="592">
        <v>42944</v>
      </c>
      <c r="Z35" s="590">
        <v>98</v>
      </c>
      <c r="AA35" s="600" t="s">
        <v>619</v>
      </c>
      <c r="AB35" s="554"/>
      <c r="AC35" s="554"/>
      <c r="AD35" s="554"/>
    </row>
    <row r="36" spans="1:30" ht="39.75" customHeight="1" x14ac:dyDescent="0.2">
      <c r="A36" s="844"/>
      <c r="B36" s="844"/>
      <c r="C36" s="844"/>
      <c r="D36" s="844"/>
      <c r="E36" s="844"/>
      <c r="F36" s="869"/>
      <c r="G36" s="596">
        <v>289</v>
      </c>
      <c r="H36" s="597"/>
      <c r="I36" s="235" t="s">
        <v>533</v>
      </c>
      <c r="J36" s="589">
        <v>80111621</v>
      </c>
      <c r="K36" s="816" t="s">
        <v>122</v>
      </c>
      <c r="L36" s="548"/>
      <c r="M36" s="816" t="s">
        <v>594</v>
      </c>
      <c r="N36" s="816" t="s">
        <v>58</v>
      </c>
      <c r="O36" s="816">
        <v>4</v>
      </c>
      <c r="P36" s="550" t="s">
        <v>572</v>
      </c>
      <c r="Q36" s="598"/>
      <c r="R36" s="266">
        <f>4220000*4</f>
        <v>16880000</v>
      </c>
      <c r="S36" s="590"/>
      <c r="T36" s="590">
        <f t="shared" si="12"/>
        <v>16880000</v>
      </c>
      <c r="U36" s="591"/>
      <c r="V36" s="590">
        <v>16880000</v>
      </c>
      <c r="W36" s="590"/>
      <c r="X36" s="590">
        <f>+V36+W36</f>
        <v>16880000</v>
      </c>
      <c r="Y36" s="592">
        <v>42962</v>
      </c>
      <c r="Z36" s="590">
        <v>108</v>
      </c>
      <c r="AA36" s="600" t="s">
        <v>692</v>
      </c>
      <c r="AB36" s="554"/>
      <c r="AC36" s="554"/>
      <c r="AD36" s="554"/>
    </row>
    <row r="37" spans="1:30" ht="49.5" customHeight="1" x14ac:dyDescent="0.2">
      <c r="A37" s="844"/>
      <c r="B37" s="844"/>
      <c r="C37" s="844"/>
      <c r="D37" s="844"/>
      <c r="E37" s="844"/>
      <c r="F37" s="869"/>
      <c r="G37" s="596">
        <v>290</v>
      </c>
      <c r="H37" s="597"/>
      <c r="I37" s="235" t="s">
        <v>534</v>
      </c>
      <c r="J37" s="589">
        <v>80111621</v>
      </c>
      <c r="K37" s="816" t="s">
        <v>122</v>
      </c>
      <c r="L37" s="548"/>
      <c r="M37" s="816" t="s">
        <v>594</v>
      </c>
      <c r="N37" s="816" t="s">
        <v>58</v>
      </c>
      <c r="O37" s="816">
        <v>4</v>
      </c>
      <c r="P37" s="550" t="s">
        <v>572</v>
      </c>
      <c r="Q37" s="598"/>
      <c r="R37" s="266">
        <f>2800000*4</f>
        <v>11200000</v>
      </c>
      <c r="S37" s="590"/>
      <c r="T37" s="590">
        <f t="shared" si="12"/>
        <v>11200000</v>
      </c>
      <c r="U37" s="591"/>
      <c r="V37" s="590">
        <v>11200000</v>
      </c>
      <c r="W37" s="590"/>
      <c r="X37" s="590">
        <f>+V37+W37</f>
        <v>11200000</v>
      </c>
      <c r="Y37" s="592">
        <v>42950</v>
      </c>
      <c r="Z37" s="590">
        <v>99</v>
      </c>
      <c r="AA37" s="600" t="s">
        <v>620</v>
      </c>
      <c r="AB37" s="554"/>
      <c r="AC37" s="554"/>
      <c r="AD37" s="554"/>
    </row>
    <row r="38" spans="1:30" ht="71.25" customHeight="1" x14ac:dyDescent="0.2">
      <c r="A38" s="844"/>
      <c r="B38" s="844"/>
      <c r="C38" s="844"/>
      <c r="D38" s="844"/>
      <c r="E38" s="844"/>
      <c r="F38" s="869"/>
      <c r="G38" s="596">
        <v>291</v>
      </c>
      <c r="H38" s="597"/>
      <c r="I38" s="235" t="s">
        <v>535</v>
      </c>
      <c r="J38" s="589">
        <v>80111621</v>
      </c>
      <c r="K38" s="816" t="s">
        <v>122</v>
      </c>
      <c r="L38" s="548"/>
      <c r="M38" s="816" t="s">
        <v>594</v>
      </c>
      <c r="N38" s="816" t="s">
        <v>58</v>
      </c>
      <c r="O38" s="816">
        <v>4</v>
      </c>
      <c r="P38" s="550" t="s">
        <v>572</v>
      </c>
      <c r="Q38" s="598"/>
      <c r="R38" s="266">
        <f>2800000*4</f>
        <v>11200000</v>
      </c>
      <c r="S38" s="590"/>
      <c r="T38" s="590">
        <f t="shared" si="12"/>
        <v>11200000</v>
      </c>
      <c r="U38" s="591"/>
      <c r="V38" s="590">
        <v>11200000</v>
      </c>
      <c r="W38" s="590"/>
      <c r="X38" s="590">
        <f>+V38+W38</f>
        <v>11200000</v>
      </c>
      <c r="Y38" s="592">
        <v>42955</v>
      </c>
      <c r="Z38" s="590">
        <v>103</v>
      </c>
      <c r="AA38" s="600" t="s">
        <v>690</v>
      </c>
      <c r="AB38" s="554"/>
      <c r="AC38" s="554"/>
      <c r="AD38" s="554"/>
    </row>
    <row r="39" spans="1:30" ht="71.25" customHeight="1" x14ac:dyDescent="0.2">
      <c r="A39" s="844"/>
      <c r="B39" s="844"/>
      <c r="C39" s="844"/>
      <c r="D39" s="844"/>
      <c r="E39" s="844"/>
      <c r="F39" s="869"/>
      <c r="G39" s="596">
        <v>292</v>
      </c>
      <c r="H39" s="597"/>
      <c r="I39" s="235" t="s">
        <v>536</v>
      </c>
      <c r="J39" s="589">
        <v>80111621</v>
      </c>
      <c r="K39" s="816" t="s">
        <v>122</v>
      </c>
      <c r="L39" s="548"/>
      <c r="M39" s="816" t="s">
        <v>594</v>
      </c>
      <c r="N39" s="816" t="s">
        <v>58</v>
      </c>
      <c r="O39" s="816">
        <v>4</v>
      </c>
      <c r="P39" s="550" t="s">
        <v>572</v>
      </c>
      <c r="Q39" s="598"/>
      <c r="R39" s="266">
        <f>2800000*4</f>
        <v>11200000</v>
      </c>
      <c r="S39" s="590"/>
      <c r="T39" s="590">
        <f t="shared" si="12"/>
        <v>11200000</v>
      </c>
      <c r="U39" s="591"/>
      <c r="V39" s="590">
        <v>11200000</v>
      </c>
      <c r="W39" s="590"/>
      <c r="X39" s="590">
        <f>+V39+W39</f>
        <v>11200000</v>
      </c>
      <c r="Y39" s="592">
        <v>42950</v>
      </c>
      <c r="Z39" s="590">
        <v>100</v>
      </c>
      <c r="AA39" s="600" t="s">
        <v>621</v>
      </c>
      <c r="AB39" s="554"/>
      <c r="AC39" s="554"/>
      <c r="AD39" s="554"/>
    </row>
    <row r="40" spans="1:30" ht="71.25" customHeight="1" x14ac:dyDescent="0.2">
      <c r="A40" s="844"/>
      <c r="B40" s="844"/>
      <c r="C40" s="844"/>
      <c r="D40" s="844"/>
      <c r="E40" s="844"/>
      <c r="F40" s="860"/>
      <c r="G40" s="601">
        <v>293</v>
      </c>
      <c r="H40" s="602"/>
      <c r="I40" s="603" t="s">
        <v>537</v>
      </c>
      <c r="J40" s="604">
        <v>80111621</v>
      </c>
      <c r="K40" s="605" t="s">
        <v>122</v>
      </c>
      <c r="L40" s="606"/>
      <c r="M40" s="605" t="s">
        <v>594</v>
      </c>
      <c r="N40" s="605" t="s">
        <v>58</v>
      </c>
      <c r="O40" s="605">
        <v>4</v>
      </c>
      <c r="P40" s="607" t="s">
        <v>572</v>
      </c>
      <c r="Q40" s="598"/>
      <c r="R40" s="266">
        <f>2800000*4</f>
        <v>11200000</v>
      </c>
      <c r="S40" s="590"/>
      <c r="T40" s="590">
        <f t="shared" si="12"/>
        <v>11200000</v>
      </c>
      <c r="U40" s="591"/>
      <c r="V40" s="590">
        <v>11200000</v>
      </c>
      <c r="W40" s="590"/>
      <c r="X40" s="590">
        <f>+V40+W40</f>
        <v>11200000</v>
      </c>
      <c r="Y40" s="592">
        <v>42950</v>
      </c>
      <c r="Z40" s="590">
        <v>101</v>
      </c>
      <c r="AA40" s="600" t="s">
        <v>622</v>
      </c>
      <c r="AB40" s="554"/>
      <c r="AC40" s="554"/>
      <c r="AD40" s="554"/>
    </row>
    <row r="41" spans="1:30" ht="23.25" customHeight="1" x14ac:dyDescent="0.25">
      <c r="A41" s="844"/>
      <c r="B41" s="844"/>
      <c r="C41" s="844"/>
      <c r="D41" s="844"/>
      <c r="E41" s="844"/>
      <c r="F41" s="868" t="s">
        <v>170</v>
      </c>
      <c r="G41" s="868"/>
      <c r="H41" s="868"/>
      <c r="I41" s="868"/>
      <c r="J41" s="868"/>
      <c r="K41" s="868"/>
      <c r="L41" s="868"/>
      <c r="M41" s="868"/>
      <c r="N41" s="868"/>
      <c r="O41" s="868"/>
      <c r="P41" s="868"/>
      <c r="Q41" s="805"/>
      <c r="R41" s="214">
        <f>SUM(R34:R40)</f>
        <v>100000000</v>
      </c>
      <c r="S41" s="214"/>
      <c r="T41" s="214">
        <f>+R41+S41</f>
        <v>100000000</v>
      </c>
      <c r="U41" s="594"/>
      <c r="V41" s="214">
        <f>SUM(V34:V40)</f>
        <v>100000000</v>
      </c>
      <c r="W41" s="214">
        <f t="shared" ref="W41:X41" si="13">SUM(W34:W40)</f>
        <v>0</v>
      </c>
      <c r="X41" s="214">
        <f t="shared" si="13"/>
        <v>100000000</v>
      </c>
      <c r="Y41" s="595"/>
      <c r="Z41" s="214"/>
      <c r="AA41" s="214"/>
      <c r="AB41" s="561"/>
      <c r="AC41" s="586">
        <v>66720000</v>
      </c>
      <c r="AD41" s="586">
        <f>+AB41+AC41</f>
        <v>66720000</v>
      </c>
    </row>
    <row r="42" spans="1:30" ht="46.5" customHeight="1" x14ac:dyDescent="0.25">
      <c r="A42" s="844"/>
      <c r="B42" s="844"/>
      <c r="C42" s="844"/>
      <c r="D42" s="844"/>
      <c r="E42" s="844"/>
      <c r="F42" s="865" t="s">
        <v>367</v>
      </c>
      <c r="G42" s="608">
        <v>206</v>
      </c>
      <c r="H42" s="574"/>
      <c r="I42" s="201" t="s">
        <v>333</v>
      </c>
      <c r="J42" s="589">
        <v>80111621</v>
      </c>
      <c r="K42" s="574" t="s">
        <v>86</v>
      </c>
      <c r="L42" s="548" t="s">
        <v>417</v>
      </c>
      <c r="M42" s="816" t="s">
        <v>593</v>
      </c>
      <c r="N42" s="201" t="s">
        <v>63</v>
      </c>
      <c r="O42" s="609">
        <v>4</v>
      </c>
      <c r="P42" s="550" t="s">
        <v>572</v>
      </c>
      <c r="Q42" s="575" t="s">
        <v>61</v>
      </c>
      <c r="R42" s="610"/>
      <c r="S42" s="611">
        <v>19918359</v>
      </c>
      <c r="T42" s="210">
        <f>+R42+S42</f>
        <v>19918359</v>
      </c>
      <c r="U42" s="271">
        <v>1</v>
      </c>
      <c r="V42" s="612"/>
      <c r="W42" s="613">
        <v>19918359</v>
      </c>
      <c r="X42" s="210">
        <f>+V42+W42</f>
        <v>19918359</v>
      </c>
      <c r="Y42" s="592">
        <v>42852</v>
      </c>
      <c r="Z42" s="613">
        <v>66</v>
      </c>
      <c r="AA42" s="210" t="s">
        <v>431</v>
      </c>
      <c r="AB42" s="614">
        <v>19918359</v>
      </c>
      <c r="AC42" s="615"/>
      <c r="AD42" s="615"/>
    </row>
    <row r="43" spans="1:30" ht="39" customHeight="1" x14ac:dyDescent="0.25">
      <c r="A43" s="844"/>
      <c r="B43" s="844"/>
      <c r="C43" s="844"/>
      <c r="D43" s="844"/>
      <c r="E43" s="844"/>
      <c r="F43" s="866"/>
      <c r="G43" s="608">
        <v>207</v>
      </c>
      <c r="H43" s="574"/>
      <c r="I43" s="201" t="s">
        <v>334</v>
      </c>
      <c r="J43" s="589">
        <v>80111621</v>
      </c>
      <c r="K43" s="574" t="s">
        <v>86</v>
      </c>
      <c r="L43" s="548" t="s">
        <v>417</v>
      </c>
      <c r="M43" s="816" t="s">
        <v>593</v>
      </c>
      <c r="N43" s="201" t="s">
        <v>56</v>
      </c>
      <c r="O43" s="609">
        <v>4</v>
      </c>
      <c r="P43" s="550" t="s">
        <v>572</v>
      </c>
      <c r="Q43" s="575" t="s">
        <v>61</v>
      </c>
      <c r="R43" s="610"/>
      <c r="S43" s="611">
        <v>27590616</v>
      </c>
      <c r="T43" s="210">
        <f t="shared" ref="T43:T46" si="14">+R43+S43</f>
        <v>27590616</v>
      </c>
      <c r="U43" s="271">
        <v>1</v>
      </c>
      <c r="V43" s="612"/>
      <c r="W43" s="613">
        <f>+S43</f>
        <v>27590616</v>
      </c>
      <c r="X43" s="210">
        <f>+V43+W43</f>
        <v>27590616</v>
      </c>
      <c r="Y43" s="592">
        <v>42881</v>
      </c>
      <c r="Z43" s="613">
        <v>88</v>
      </c>
      <c r="AA43" s="210" t="s">
        <v>498</v>
      </c>
      <c r="AB43" s="614">
        <v>27590616</v>
      </c>
      <c r="AC43" s="615"/>
      <c r="AD43" s="615"/>
    </row>
    <row r="44" spans="1:30" ht="40.5" customHeight="1" x14ac:dyDescent="0.25">
      <c r="A44" s="844"/>
      <c r="B44" s="844"/>
      <c r="C44" s="844"/>
      <c r="D44" s="844"/>
      <c r="E44" s="844"/>
      <c r="F44" s="866"/>
      <c r="G44" s="608">
        <v>208</v>
      </c>
      <c r="H44" s="574"/>
      <c r="I44" s="201" t="s">
        <v>335</v>
      </c>
      <c r="J44" s="589">
        <v>80111621</v>
      </c>
      <c r="K44" s="574" t="s">
        <v>86</v>
      </c>
      <c r="L44" s="548" t="s">
        <v>417</v>
      </c>
      <c r="M44" s="816" t="s">
        <v>593</v>
      </c>
      <c r="N44" s="201" t="s">
        <v>56</v>
      </c>
      <c r="O44" s="609">
        <v>4</v>
      </c>
      <c r="P44" s="550" t="s">
        <v>572</v>
      </c>
      <c r="Q44" s="575" t="s">
        <v>61</v>
      </c>
      <c r="R44" s="610"/>
      <c r="S44" s="611">
        <v>27590616</v>
      </c>
      <c r="T44" s="210">
        <f t="shared" si="14"/>
        <v>27590616</v>
      </c>
      <c r="U44" s="271">
        <v>1</v>
      </c>
      <c r="V44" s="612"/>
      <c r="W44" s="613">
        <f>+S44</f>
        <v>27590616</v>
      </c>
      <c r="X44" s="210">
        <f>+W44</f>
        <v>27590616</v>
      </c>
      <c r="Y44" s="592">
        <v>42863</v>
      </c>
      <c r="Z44" s="613">
        <v>75</v>
      </c>
      <c r="AA44" s="210" t="s">
        <v>458</v>
      </c>
      <c r="AB44" s="614">
        <v>27590616</v>
      </c>
      <c r="AC44" s="615"/>
      <c r="AD44" s="615"/>
    </row>
    <row r="45" spans="1:30" ht="49.5" customHeight="1" x14ac:dyDescent="0.25">
      <c r="A45" s="844"/>
      <c r="B45" s="844"/>
      <c r="C45" s="844"/>
      <c r="D45" s="844"/>
      <c r="E45" s="844"/>
      <c r="F45" s="866"/>
      <c r="G45" s="608">
        <v>209</v>
      </c>
      <c r="H45" s="574"/>
      <c r="I45" s="201" t="s">
        <v>336</v>
      </c>
      <c r="J45" s="589">
        <v>80111621</v>
      </c>
      <c r="K45" s="574" t="s">
        <v>86</v>
      </c>
      <c r="L45" s="548" t="s">
        <v>417</v>
      </c>
      <c r="M45" s="816" t="s">
        <v>593</v>
      </c>
      <c r="N45" s="201" t="s">
        <v>56</v>
      </c>
      <c r="O45" s="609">
        <v>4</v>
      </c>
      <c r="P45" s="550" t="s">
        <v>572</v>
      </c>
      <c r="Q45" s="575" t="s">
        <v>61</v>
      </c>
      <c r="R45" s="611">
        <v>14936309</v>
      </c>
      <c r="S45" s="611">
        <v>4982050</v>
      </c>
      <c r="T45" s="210">
        <f t="shared" si="14"/>
        <v>19918359</v>
      </c>
      <c r="U45" s="271">
        <v>1</v>
      </c>
      <c r="V45" s="611">
        <v>14936309</v>
      </c>
      <c r="W45" s="611">
        <v>4982050</v>
      </c>
      <c r="X45" s="210">
        <f>+V45+W45</f>
        <v>19918359</v>
      </c>
      <c r="Y45" s="592">
        <v>42863</v>
      </c>
      <c r="Z45" s="613">
        <v>74</v>
      </c>
      <c r="AA45" s="210" t="s">
        <v>457</v>
      </c>
      <c r="AB45" s="614">
        <v>4982050</v>
      </c>
      <c r="AC45" s="615"/>
      <c r="AD45" s="615"/>
    </row>
    <row r="46" spans="1:30" ht="39" customHeight="1" x14ac:dyDescent="0.25">
      <c r="A46" s="844"/>
      <c r="B46" s="844"/>
      <c r="C46" s="844"/>
      <c r="D46" s="844"/>
      <c r="E46" s="844"/>
      <c r="F46" s="866"/>
      <c r="G46" s="608">
        <v>210</v>
      </c>
      <c r="H46" s="574"/>
      <c r="I46" s="201" t="s">
        <v>337</v>
      </c>
      <c r="J46" s="589">
        <v>80111621</v>
      </c>
      <c r="K46" s="574" t="s">
        <v>86</v>
      </c>
      <c r="L46" s="548" t="s">
        <v>417</v>
      </c>
      <c r="M46" s="816" t="s">
        <v>593</v>
      </c>
      <c r="N46" s="201" t="s">
        <v>56</v>
      </c>
      <c r="O46" s="609">
        <v>4</v>
      </c>
      <c r="P46" s="550" t="s">
        <v>572</v>
      </c>
      <c r="Q46" s="575" t="s">
        <v>61</v>
      </c>
      <c r="R46" s="610"/>
      <c r="S46" s="611">
        <v>19918359</v>
      </c>
      <c r="T46" s="210">
        <f t="shared" si="14"/>
        <v>19918359</v>
      </c>
      <c r="U46" s="271">
        <v>1</v>
      </c>
      <c r="V46" s="612"/>
      <c r="W46" s="613">
        <f>+S46</f>
        <v>19918359</v>
      </c>
      <c r="X46" s="210">
        <f>+V46+W46</f>
        <v>19918359</v>
      </c>
      <c r="Y46" s="592">
        <v>42864</v>
      </c>
      <c r="Z46" s="613">
        <v>76</v>
      </c>
      <c r="AA46" s="210" t="s">
        <v>459</v>
      </c>
      <c r="AB46" s="614">
        <v>19918359</v>
      </c>
      <c r="AC46" s="615"/>
      <c r="AD46" s="615"/>
    </row>
    <row r="47" spans="1:30" ht="37.5" customHeight="1" x14ac:dyDescent="0.25">
      <c r="A47" s="844"/>
      <c r="B47" s="844"/>
      <c r="C47" s="844"/>
      <c r="D47" s="844"/>
      <c r="E47" s="844"/>
      <c r="F47" s="866"/>
      <c r="G47" s="608">
        <v>230</v>
      </c>
      <c r="H47" s="574"/>
      <c r="I47" s="201" t="s">
        <v>390</v>
      </c>
      <c r="J47" s="589">
        <v>80111621</v>
      </c>
      <c r="K47" s="574" t="s">
        <v>86</v>
      </c>
      <c r="L47" s="548" t="s">
        <v>417</v>
      </c>
      <c r="M47" s="816" t="s">
        <v>593</v>
      </c>
      <c r="N47" s="201" t="s">
        <v>63</v>
      </c>
      <c r="O47" s="609">
        <v>4</v>
      </c>
      <c r="P47" s="550" t="s">
        <v>572</v>
      </c>
      <c r="Q47" s="575" t="s">
        <v>61</v>
      </c>
      <c r="R47" s="611">
        <v>14754340</v>
      </c>
      <c r="S47" s="610"/>
      <c r="T47" s="210">
        <f>+R47+S47</f>
        <v>14754340</v>
      </c>
      <c r="U47" s="271">
        <v>1</v>
      </c>
      <c r="V47" s="612">
        <v>14754340</v>
      </c>
      <c r="W47" s="613"/>
      <c r="X47" s="210">
        <f>+V47+W47</f>
        <v>14754340</v>
      </c>
      <c r="Y47" s="592">
        <v>42849</v>
      </c>
      <c r="Z47" s="613">
        <v>56</v>
      </c>
      <c r="AA47" s="210" t="s">
        <v>406</v>
      </c>
      <c r="AB47" s="614"/>
      <c r="AC47" s="615"/>
      <c r="AD47" s="615"/>
    </row>
    <row r="48" spans="1:30" ht="52.5" customHeight="1" x14ac:dyDescent="0.25">
      <c r="A48" s="844"/>
      <c r="B48" s="844"/>
      <c r="C48" s="844"/>
      <c r="D48" s="844"/>
      <c r="E48" s="844"/>
      <c r="F48" s="867"/>
      <c r="G48" s="608">
        <v>246</v>
      </c>
      <c r="H48" s="574"/>
      <c r="I48" s="603" t="s">
        <v>351</v>
      </c>
      <c r="J48" s="589">
        <v>80111621</v>
      </c>
      <c r="K48" s="574" t="s">
        <v>122</v>
      </c>
      <c r="L48" s="548" t="s">
        <v>418</v>
      </c>
      <c r="M48" s="606" t="s">
        <v>594</v>
      </c>
      <c r="N48" s="201" t="s">
        <v>56</v>
      </c>
      <c r="O48" s="609">
        <v>7</v>
      </c>
      <c r="P48" s="550" t="s">
        <v>572</v>
      </c>
      <c r="Q48" s="575" t="s">
        <v>61</v>
      </c>
      <c r="R48" s="611">
        <v>3309351</v>
      </c>
      <c r="S48" s="610"/>
      <c r="T48" s="210">
        <f>+R48+S48</f>
        <v>3309351</v>
      </c>
      <c r="U48" s="271"/>
      <c r="V48" s="612">
        <f>+R48</f>
        <v>3309351</v>
      </c>
      <c r="W48" s="613"/>
      <c r="X48" s="590">
        <f>+V48+W48</f>
        <v>3309351</v>
      </c>
      <c r="Y48" s="592">
        <v>42871</v>
      </c>
      <c r="Z48" s="613">
        <v>82</v>
      </c>
      <c r="AA48" s="616" t="s">
        <v>482</v>
      </c>
      <c r="AB48" s="617"/>
      <c r="AC48" s="615"/>
      <c r="AD48" s="615"/>
    </row>
    <row r="49" spans="1:32" ht="17.25" customHeight="1" x14ac:dyDescent="0.25">
      <c r="A49" s="844"/>
      <c r="B49" s="844"/>
      <c r="C49" s="588"/>
      <c r="D49" s="844"/>
      <c r="E49" s="844"/>
      <c r="F49" s="851" t="s">
        <v>170</v>
      </c>
      <c r="G49" s="852"/>
      <c r="H49" s="852"/>
      <c r="I49" s="852"/>
      <c r="J49" s="557"/>
      <c r="K49" s="557"/>
      <c r="L49" s="557"/>
      <c r="M49" s="557"/>
      <c r="N49" s="557"/>
      <c r="O49" s="557"/>
      <c r="P49" s="558"/>
      <c r="Q49" s="806"/>
      <c r="R49" s="214">
        <f>SUM(R42:R48)</f>
        <v>33000000</v>
      </c>
      <c r="S49" s="214">
        <f t="shared" ref="S49:T49" si="15">SUM(S42:S48)</f>
        <v>100000000</v>
      </c>
      <c r="T49" s="214">
        <f t="shared" si="15"/>
        <v>133000000</v>
      </c>
      <c r="U49" s="594"/>
      <c r="V49" s="214">
        <f>SUM(V42:V48)</f>
        <v>33000000</v>
      </c>
      <c r="W49" s="214">
        <f t="shared" ref="W49:X49" si="16">SUM(W42:W48)</f>
        <v>100000000</v>
      </c>
      <c r="X49" s="214">
        <f t="shared" si="16"/>
        <v>133000000</v>
      </c>
      <c r="Y49" s="595"/>
      <c r="Z49" s="214"/>
      <c r="AA49" s="214"/>
      <c r="AB49" s="618">
        <f>SUM(AB42:AB48)</f>
        <v>100000000</v>
      </c>
      <c r="AC49" s="618">
        <v>33000000</v>
      </c>
      <c r="AD49" s="586">
        <f>+AB49+AC49</f>
        <v>133000000</v>
      </c>
    </row>
    <row r="50" spans="1:32" ht="63.75" customHeight="1" x14ac:dyDescent="0.25">
      <c r="A50" s="844" t="str">
        <f>+A34</f>
        <v>1079  Investigación e innovación para el fortalecimiento de las comunidades de saber y práctica pedagógica.</v>
      </c>
      <c r="B50" s="844" t="str">
        <f t="shared" ref="B50:D50" si="17">+B34</f>
        <v>Codigo 383 
Un sistema de seguimiento a la Política Educativa Distrital en los contestos Escolare Ajustado e Implementado</v>
      </c>
      <c r="C50" s="844" t="str">
        <f t="shared" si="17"/>
        <v>Componente No.1 "Sistema de Seguimiento a la política educativa distrital en los contextos escolares."</v>
      </c>
      <c r="D50" s="844" t="str">
        <f t="shared" si="17"/>
        <v>Realizar cinco (5) estudios Sistema de seguimiento a la política educativa distrital en los contextos escolares.</v>
      </c>
      <c r="E50" s="844" t="str">
        <f>+E32</f>
        <v>Realizar 3 Estudios en Escuela currículo y pedagogía, Educación y políticas públicas y Cualificación docente</v>
      </c>
      <c r="F50" s="865" t="s">
        <v>201</v>
      </c>
      <c r="G50" s="619">
        <v>212</v>
      </c>
      <c r="H50" s="574"/>
      <c r="I50" s="201" t="s">
        <v>338</v>
      </c>
      <c r="J50" s="548">
        <v>80111601</v>
      </c>
      <c r="K50" s="816" t="s">
        <v>86</v>
      </c>
      <c r="L50" s="548" t="s">
        <v>417</v>
      </c>
      <c r="M50" s="606" t="s">
        <v>593</v>
      </c>
      <c r="N50" s="609" t="s">
        <v>63</v>
      </c>
      <c r="O50" s="609">
        <v>8</v>
      </c>
      <c r="P50" s="550" t="s">
        <v>572</v>
      </c>
      <c r="Q50" s="816" t="s">
        <v>61</v>
      </c>
      <c r="R50" s="590"/>
      <c r="S50" s="611">
        <v>64919096</v>
      </c>
      <c r="T50" s="590">
        <f>+R50+S50</f>
        <v>64919096</v>
      </c>
      <c r="U50" s="591">
        <v>1</v>
      </c>
      <c r="V50" s="590"/>
      <c r="W50" s="590">
        <f>+S50</f>
        <v>64919096</v>
      </c>
      <c r="X50" s="590">
        <f>+W50</f>
        <v>64919096</v>
      </c>
      <c r="Y50" s="592">
        <v>42851</v>
      </c>
      <c r="Z50" s="590">
        <v>63</v>
      </c>
      <c r="AA50" s="600" t="s">
        <v>429</v>
      </c>
      <c r="AB50" s="614">
        <v>48689322</v>
      </c>
      <c r="AC50" s="554"/>
      <c r="AD50" s="554"/>
    </row>
    <row r="51" spans="1:32" ht="69" customHeight="1" x14ac:dyDescent="0.25">
      <c r="A51" s="844"/>
      <c r="B51" s="844"/>
      <c r="C51" s="844"/>
      <c r="D51" s="844"/>
      <c r="E51" s="844"/>
      <c r="F51" s="866"/>
      <c r="G51" s="619">
        <v>213</v>
      </c>
      <c r="H51" s="574"/>
      <c r="I51" s="201" t="s">
        <v>339</v>
      </c>
      <c r="J51" s="548">
        <v>80111601</v>
      </c>
      <c r="K51" s="816" t="s">
        <v>86</v>
      </c>
      <c r="L51" s="548" t="s">
        <v>417</v>
      </c>
      <c r="M51" s="606" t="s">
        <v>593</v>
      </c>
      <c r="N51" s="609" t="s">
        <v>63</v>
      </c>
      <c r="O51" s="609">
        <v>7</v>
      </c>
      <c r="P51" s="550" t="s">
        <v>572</v>
      </c>
      <c r="Q51" s="816" t="s">
        <v>61</v>
      </c>
      <c r="R51" s="590"/>
      <c r="S51" s="611">
        <v>46476171</v>
      </c>
      <c r="T51" s="590">
        <f t="shared" ref="T51:T57" si="18">+R51+S51</f>
        <v>46476171</v>
      </c>
      <c r="U51" s="591">
        <v>1</v>
      </c>
      <c r="V51" s="590"/>
      <c r="W51" s="590">
        <f>+S51</f>
        <v>46476171</v>
      </c>
      <c r="X51" s="590">
        <f>+W51</f>
        <v>46476171</v>
      </c>
      <c r="Y51" s="592">
        <v>42851</v>
      </c>
      <c r="Z51" s="590">
        <v>62</v>
      </c>
      <c r="AA51" s="600" t="s">
        <v>428</v>
      </c>
      <c r="AB51" s="614">
        <v>33197265</v>
      </c>
      <c r="AC51" s="554"/>
      <c r="AD51" s="554"/>
    </row>
    <row r="52" spans="1:32" ht="62.25" customHeight="1" x14ac:dyDescent="0.25">
      <c r="A52" s="844"/>
      <c r="B52" s="844"/>
      <c r="C52" s="844"/>
      <c r="D52" s="844"/>
      <c r="E52" s="844"/>
      <c r="F52" s="866"/>
      <c r="G52" s="619">
        <v>214</v>
      </c>
      <c r="H52" s="574"/>
      <c r="I52" s="201" t="s">
        <v>340</v>
      </c>
      <c r="J52" s="548">
        <v>80111601</v>
      </c>
      <c r="K52" s="816" t="s">
        <v>86</v>
      </c>
      <c r="L52" s="548" t="s">
        <v>417</v>
      </c>
      <c r="M52" s="606" t="s">
        <v>593</v>
      </c>
      <c r="N52" s="609" t="s">
        <v>63</v>
      </c>
      <c r="O52" s="609">
        <v>7</v>
      </c>
      <c r="P52" s="550" t="s">
        <v>572</v>
      </c>
      <c r="Q52" s="816" t="s">
        <v>61</v>
      </c>
      <c r="R52" s="590"/>
      <c r="S52" s="611">
        <v>46476171</v>
      </c>
      <c r="T52" s="590">
        <f t="shared" si="18"/>
        <v>46476171</v>
      </c>
      <c r="U52" s="591">
        <v>1</v>
      </c>
      <c r="V52" s="590"/>
      <c r="W52" s="590">
        <f>+S52</f>
        <v>46476171</v>
      </c>
      <c r="X52" s="590">
        <f>+W52</f>
        <v>46476171</v>
      </c>
      <c r="Y52" s="592">
        <v>42851</v>
      </c>
      <c r="Z52" s="590">
        <v>61</v>
      </c>
      <c r="AA52" s="600" t="s">
        <v>427</v>
      </c>
      <c r="AB52" s="614">
        <v>33197265</v>
      </c>
      <c r="AC52" s="554"/>
      <c r="AD52" s="554"/>
    </row>
    <row r="53" spans="1:32" ht="67.5" customHeight="1" x14ac:dyDescent="0.25">
      <c r="A53" s="844"/>
      <c r="B53" s="844"/>
      <c r="C53" s="844"/>
      <c r="D53" s="844"/>
      <c r="E53" s="844"/>
      <c r="F53" s="866"/>
      <c r="G53" s="619">
        <v>215</v>
      </c>
      <c r="H53" s="574"/>
      <c r="I53" s="201" t="s">
        <v>341</v>
      </c>
      <c r="J53" s="548">
        <v>80111601</v>
      </c>
      <c r="K53" s="816" t="s">
        <v>86</v>
      </c>
      <c r="L53" s="548" t="s">
        <v>417</v>
      </c>
      <c r="M53" s="606" t="s">
        <v>593</v>
      </c>
      <c r="N53" s="609" t="s">
        <v>63</v>
      </c>
      <c r="O53" s="609">
        <v>7</v>
      </c>
      <c r="P53" s="550" t="s">
        <v>572</v>
      </c>
      <c r="Q53" s="816" t="s">
        <v>61</v>
      </c>
      <c r="R53" s="590"/>
      <c r="S53" s="611">
        <v>46476171</v>
      </c>
      <c r="T53" s="590">
        <f t="shared" si="18"/>
        <v>46476171</v>
      </c>
      <c r="U53" s="591">
        <v>1</v>
      </c>
      <c r="V53" s="590"/>
      <c r="W53" s="590">
        <f>+S53</f>
        <v>46476171</v>
      </c>
      <c r="X53" s="590">
        <f>+W53</f>
        <v>46476171</v>
      </c>
      <c r="Y53" s="592">
        <v>42852</v>
      </c>
      <c r="Z53" s="590">
        <v>65</v>
      </c>
      <c r="AA53" s="600" t="s">
        <v>430</v>
      </c>
      <c r="AB53" s="614">
        <v>33197265</v>
      </c>
      <c r="AC53" s="554"/>
      <c r="AD53" s="554"/>
    </row>
    <row r="54" spans="1:32" ht="87" customHeight="1" x14ac:dyDescent="0.25">
      <c r="A54" s="844"/>
      <c r="B54" s="844"/>
      <c r="C54" s="844"/>
      <c r="D54" s="844"/>
      <c r="E54" s="844"/>
      <c r="F54" s="866"/>
      <c r="G54" s="619">
        <v>216</v>
      </c>
      <c r="H54" s="574"/>
      <c r="I54" s="201" t="s">
        <v>342</v>
      </c>
      <c r="J54" s="548">
        <v>80111601</v>
      </c>
      <c r="K54" s="816" t="s">
        <v>86</v>
      </c>
      <c r="L54" s="548" t="s">
        <v>417</v>
      </c>
      <c r="M54" s="606" t="s">
        <v>593</v>
      </c>
      <c r="N54" s="609" t="s">
        <v>63</v>
      </c>
      <c r="O54" s="609">
        <v>7</v>
      </c>
      <c r="P54" s="550" t="s">
        <v>572</v>
      </c>
      <c r="Q54" s="816" t="s">
        <v>61</v>
      </c>
      <c r="R54" s="590"/>
      <c r="S54" s="611">
        <v>46476171</v>
      </c>
      <c r="T54" s="590">
        <f t="shared" si="18"/>
        <v>46476171</v>
      </c>
      <c r="U54" s="591">
        <v>1</v>
      </c>
      <c r="V54" s="590"/>
      <c r="W54" s="590">
        <v>46476171</v>
      </c>
      <c r="X54" s="590">
        <f>+V54+W54</f>
        <v>46476171</v>
      </c>
      <c r="Y54" s="592">
        <v>42852</v>
      </c>
      <c r="Z54" s="590">
        <v>67</v>
      </c>
      <c r="AA54" s="600" t="s">
        <v>432</v>
      </c>
      <c r="AB54" s="614">
        <v>33197265</v>
      </c>
      <c r="AC54" s="554"/>
      <c r="AD54" s="554"/>
    </row>
    <row r="55" spans="1:32" ht="58.5" customHeight="1" x14ac:dyDescent="0.25">
      <c r="A55" s="844"/>
      <c r="B55" s="844"/>
      <c r="C55" s="844"/>
      <c r="D55" s="844"/>
      <c r="E55" s="844"/>
      <c r="F55" s="866"/>
      <c r="G55" s="619">
        <v>217</v>
      </c>
      <c r="H55" s="574"/>
      <c r="I55" s="201" t="s">
        <v>391</v>
      </c>
      <c r="J55" s="548">
        <v>80111601</v>
      </c>
      <c r="K55" s="816" t="s">
        <v>86</v>
      </c>
      <c r="L55" s="548" t="s">
        <v>417</v>
      </c>
      <c r="M55" s="606" t="s">
        <v>593</v>
      </c>
      <c r="N55" s="609" t="s">
        <v>63</v>
      </c>
      <c r="O55" s="609">
        <v>8</v>
      </c>
      <c r="P55" s="550" t="s">
        <v>572</v>
      </c>
      <c r="Q55" s="816" t="s">
        <v>61</v>
      </c>
      <c r="R55" s="590"/>
      <c r="S55" s="611">
        <v>28770963</v>
      </c>
      <c r="T55" s="590">
        <f t="shared" si="18"/>
        <v>28770963</v>
      </c>
      <c r="U55" s="591">
        <v>1</v>
      </c>
      <c r="V55" s="590"/>
      <c r="W55" s="590">
        <v>28770963</v>
      </c>
      <c r="X55" s="590">
        <f>+V55+W55</f>
        <v>28770963</v>
      </c>
      <c r="Y55" s="592">
        <v>42844</v>
      </c>
      <c r="Z55" s="590">
        <v>47</v>
      </c>
      <c r="AA55" s="600" t="s">
        <v>402</v>
      </c>
      <c r="AB55" s="614">
        <v>25820095</v>
      </c>
      <c r="AC55" s="554"/>
      <c r="AD55" s="554"/>
    </row>
    <row r="56" spans="1:32" ht="81.75" customHeight="1" x14ac:dyDescent="0.25">
      <c r="A56" s="844"/>
      <c r="B56" s="844"/>
      <c r="C56" s="844"/>
      <c r="D56" s="844"/>
      <c r="E56" s="844"/>
      <c r="F56" s="866"/>
      <c r="G56" s="596">
        <v>281</v>
      </c>
      <c r="H56" s="574"/>
      <c r="I56" s="201" t="s">
        <v>496</v>
      </c>
      <c r="J56" s="548">
        <v>80111601</v>
      </c>
      <c r="K56" s="816" t="s">
        <v>86</v>
      </c>
      <c r="L56" s="548" t="s">
        <v>417</v>
      </c>
      <c r="M56" s="606" t="s">
        <v>593</v>
      </c>
      <c r="N56" s="609" t="s">
        <v>118</v>
      </c>
      <c r="O56" s="609">
        <v>6</v>
      </c>
      <c r="P56" s="550" t="s">
        <v>572</v>
      </c>
      <c r="Q56" s="816" t="s">
        <v>61</v>
      </c>
      <c r="R56" s="590"/>
      <c r="S56" s="611">
        <v>200000000</v>
      </c>
      <c r="T56" s="590">
        <f t="shared" si="18"/>
        <v>200000000</v>
      </c>
      <c r="U56" s="591"/>
      <c r="V56" s="590"/>
      <c r="W56" s="590">
        <v>200000000</v>
      </c>
      <c r="X56" s="590">
        <f>+W56</f>
        <v>200000000</v>
      </c>
      <c r="Y56" s="592">
        <v>42895</v>
      </c>
      <c r="Z56" s="590">
        <v>92</v>
      </c>
      <c r="AA56" s="600" t="s">
        <v>739</v>
      </c>
      <c r="AB56" s="614">
        <v>140000000</v>
      </c>
      <c r="AC56" s="554"/>
      <c r="AD56" s="554"/>
    </row>
    <row r="57" spans="1:32" ht="79.5" customHeight="1" x14ac:dyDescent="0.25">
      <c r="A57" s="844"/>
      <c r="B57" s="844"/>
      <c r="C57" s="844"/>
      <c r="D57" s="844"/>
      <c r="E57" s="844"/>
      <c r="F57" s="867"/>
      <c r="G57" s="619">
        <v>246</v>
      </c>
      <c r="H57" s="574"/>
      <c r="I57" s="201" t="s">
        <v>351</v>
      </c>
      <c r="J57" s="548">
        <v>80111601</v>
      </c>
      <c r="K57" s="816" t="s">
        <v>122</v>
      </c>
      <c r="L57" s="548" t="s">
        <v>418</v>
      </c>
      <c r="M57" s="606" t="s">
        <v>593</v>
      </c>
      <c r="N57" s="609" t="s">
        <v>56</v>
      </c>
      <c r="O57" s="609">
        <v>7</v>
      </c>
      <c r="P57" s="550" t="s">
        <v>572</v>
      </c>
      <c r="Q57" s="816" t="s">
        <v>61</v>
      </c>
      <c r="R57" s="590"/>
      <c r="S57" s="611">
        <f>17667540+737717</f>
        <v>18405257</v>
      </c>
      <c r="T57" s="590">
        <f t="shared" si="18"/>
        <v>18405257</v>
      </c>
      <c r="U57" s="591"/>
      <c r="V57" s="590"/>
      <c r="W57" s="590">
        <f>+S57</f>
        <v>18405257</v>
      </c>
      <c r="X57" s="590">
        <f>+V57+W57</f>
        <v>18405257</v>
      </c>
      <c r="Y57" s="592">
        <v>82</v>
      </c>
      <c r="Z57" s="590">
        <v>82</v>
      </c>
      <c r="AA57" s="616" t="s">
        <v>482</v>
      </c>
      <c r="AB57" s="821">
        <v>17928379</v>
      </c>
      <c r="AC57" s="554"/>
      <c r="AD57" s="554"/>
    </row>
    <row r="58" spans="1:32" ht="25.5" customHeight="1" x14ac:dyDescent="0.25">
      <c r="A58" s="844"/>
      <c r="B58" s="844"/>
      <c r="C58" s="844"/>
      <c r="D58" s="844"/>
      <c r="E58" s="844"/>
      <c r="F58" s="851" t="s">
        <v>170</v>
      </c>
      <c r="G58" s="852"/>
      <c r="H58" s="852"/>
      <c r="I58" s="852"/>
      <c r="J58" s="557"/>
      <c r="K58" s="557"/>
      <c r="L58" s="557"/>
      <c r="M58" s="557"/>
      <c r="N58" s="557"/>
      <c r="O58" s="557"/>
      <c r="P58" s="558"/>
      <c r="Q58" s="806"/>
      <c r="R58" s="214">
        <f>SUM(R50:R57)</f>
        <v>0</v>
      </c>
      <c r="S58" s="214">
        <f t="shared" ref="S58:T58" si="19">SUM(S50:S57)</f>
        <v>498000000</v>
      </c>
      <c r="T58" s="214">
        <f t="shared" si="19"/>
        <v>498000000</v>
      </c>
      <c r="U58" s="594"/>
      <c r="V58" s="214">
        <f>SUM(V50:V57)</f>
        <v>0</v>
      </c>
      <c r="W58" s="214">
        <f>SUM(W50:W57)</f>
        <v>498000000</v>
      </c>
      <c r="X58" s="214">
        <f>SUM(X50:X57)</f>
        <v>498000000</v>
      </c>
      <c r="Y58" s="595"/>
      <c r="Z58" s="214"/>
      <c r="AA58" s="214"/>
      <c r="AB58" s="563">
        <f>SUM(AB50:AB57)</f>
        <v>365226856</v>
      </c>
      <c r="AC58" s="563">
        <f>SUM(AC50:AC57)</f>
        <v>0</v>
      </c>
      <c r="AD58" s="563">
        <f>+AB58+AC58</f>
        <v>365226856</v>
      </c>
      <c r="AF58" s="620"/>
    </row>
    <row r="59" spans="1:32" ht="35.25" customHeight="1" x14ac:dyDescent="0.25">
      <c r="A59" s="844"/>
      <c r="B59" s="844"/>
      <c r="C59" s="844"/>
      <c r="D59" s="844"/>
      <c r="E59" s="844"/>
      <c r="F59" s="839" t="s">
        <v>13</v>
      </c>
      <c r="G59" s="839"/>
      <c r="H59" s="839"/>
      <c r="I59" s="840"/>
      <c r="J59" s="840"/>
      <c r="K59" s="840"/>
      <c r="L59" s="840"/>
      <c r="M59" s="840"/>
      <c r="N59" s="840"/>
      <c r="O59" s="840"/>
      <c r="P59" s="840"/>
      <c r="Q59" s="803"/>
      <c r="R59" s="621">
        <f>+R33+R41+R49+R58</f>
        <v>133000000</v>
      </c>
      <c r="S59" s="621">
        <f>+S33+S41+S49+S58</f>
        <v>598000000</v>
      </c>
      <c r="T59" s="621">
        <f>+T33+T41+T49+T58</f>
        <v>731000000</v>
      </c>
      <c r="U59" s="622"/>
      <c r="V59" s="621">
        <f>+V41+V49+V58</f>
        <v>133000000</v>
      </c>
      <c r="W59" s="621">
        <f>+W41+W49+W58</f>
        <v>598000000</v>
      </c>
      <c r="X59" s="621">
        <f>+X41+X49+X58</f>
        <v>731000000</v>
      </c>
      <c r="Y59" s="623"/>
      <c r="Z59" s="621"/>
      <c r="AA59" s="621"/>
      <c r="AB59" s="569">
        <f>+AB58+AB49+AB41+AB33</f>
        <v>465226856</v>
      </c>
      <c r="AC59" s="569">
        <f>+AC58+AC49+AC41+AC33</f>
        <v>99720000</v>
      </c>
      <c r="AD59" s="569">
        <f>+AD58+AD49+AD41+AD33</f>
        <v>564946856</v>
      </c>
      <c r="AE59" s="817"/>
    </row>
    <row r="60" spans="1:32" ht="32.25" customHeight="1" x14ac:dyDescent="0.2">
      <c r="A60" s="841" t="str">
        <f>+A16</f>
        <v>1079  Investigación e innovación para el fortalecimiento de las comunidades de saber y práctica pedagógica.</v>
      </c>
      <c r="B60" s="841" t="str">
        <f>+B32</f>
        <v>Codigo 383 
Un sistema de seguimiento a la Política Educativa Distrital en los contestos Escolare Ajustado e Implementado</v>
      </c>
      <c r="C60" s="841" t="str">
        <f>+C32</f>
        <v>Componente No.1 "Sistema de Seguimiento a la política educativa distrital en los contextos escolares."</v>
      </c>
      <c r="D60" s="841" t="s">
        <v>128</v>
      </c>
      <c r="E60" s="841" t="s">
        <v>128</v>
      </c>
      <c r="F60" s="856" t="s">
        <v>108</v>
      </c>
      <c r="G60" s="547">
        <v>139</v>
      </c>
      <c r="H60" s="547"/>
      <c r="I60" s="205" t="s">
        <v>82</v>
      </c>
      <c r="J60" s="547">
        <v>82111801</v>
      </c>
      <c r="K60" s="574" t="s">
        <v>83</v>
      </c>
      <c r="L60" s="548" t="s">
        <v>419</v>
      </c>
      <c r="M60" s="574" t="s">
        <v>596</v>
      </c>
      <c r="N60" s="624" t="s">
        <v>87</v>
      </c>
      <c r="O60" s="549">
        <v>9</v>
      </c>
      <c r="P60" s="550" t="s">
        <v>572</v>
      </c>
      <c r="Q60" s="579" t="s">
        <v>61</v>
      </c>
      <c r="R60" s="215">
        <f>20166973+4983027</f>
        <v>25150000</v>
      </c>
      <c r="S60" s="209"/>
      <c r="T60" s="210">
        <f t="shared" ref="T60:T63" si="20">SUM(R60:S60)</f>
        <v>25150000</v>
      </c>
      <c r="U60" s="271">
        <v>1</v>
      </c>
      <c r="V60" s="215">
        <f>+R60</f>
        <v>25150000</v>
      </c>
      <c r="W60" s="209"/>
      <c r="X60" s="210">
        <f>+V60+W60</f>
        <v>25150000</v>
      </c>
      <c r="Y60" s="625">
        <v>42803</v>
      </c>
      <c r="Z60" s="626">
        <v>30</v>
      </c>
      <c r="AA60" s="210" t="s">
        <v>285</v>
      </c>
      <c r="AB60" s="554"/>
      <c r="AC60" s="554"/>
      <c r="AD60" s="554"/>
    </row>
    <row r="61" spans="1:32" ht="28.5" customHeight="1" x14ac:dyDescent="0.2">
      <c r="A61" s="841"/>
      <c r="B61" s="841"/>
      <c r="C61" s="841"/>
      <c r="D61" s="841"/>
      <c r="E61" s="841"/>
      <c r="F61" s="857"/>
      <c r="G61" s="547">
        <v>136</v>
      </c>
      <c r="H61" s="547"/>
      <c r="I61" s="205" t="s">
        <v>202</v>
      </c>
      <c r="J61" s="547">
        <v>82111801</v>
      </c>
      <c r="K61" s="574" t="s">
        <v>83</v>
      </c>
      <c r="L61" s="548" t="s">
        <v>419</v>
      </c>
      <c r="M61" s="574" t="s">
        <v>596</v>
      </c>
      <c r="N61" s="624" t="s">
        <v>51</v>
      </c>
      <c r="O61" s="549">
        <v>9</v>
      </c>
      <c r="P61" s="550" t="s">
        <v>572</v>
      </c>
      <c r="Q61" s="579" t="s">
        <v>61</v>
      </c>
      <c r="R61" s="215">
        <f>18000000-6964262</f>
        <v>11035738</v>
      </c>
      <c r="S61" s="209"/>
      <c r="T61" s="210">
        <f t="shared" si="20"/>
        <v>11035738</v>
      </c>
      <c r="U61" s="271">
        <v>1</v>
      </c>
      <c r="V61" s="215">
        <f>18000000-6964262</f>
        <v>11035738</v>
      </c>
      <c r="W61" s="209"/>
      <c r="X61" s="210">
        <f t="shared" ref="X61" si="21">SUM(V61:W61)</f>
        <v>11035738</v>
      </c>
      <c r="Y61" s="625">
        <v>42794</v>
      </c>
      <c r="Z61" s="626">
        <v>12</v>
      </c>
      <c r="AA61" s="210" t="s">
        <v>263</v>
      </c>
      <c r="AB61" s="554"/>
      <c r="AC61" s="554"/>
      <c r="AD61" s="554"/>
    </row>
    <row r="62" spans="1:32" ht="33" customHeight="1" x14ac:dyDescent="0.2">
      <c r="A62" s="841"/>
      <c r="B62" s="841"/>
      <c r="C62" s="841"/>
      <c r="D62" s="841"/>
      <c r="E62" s="841"/>
      <c r="F62" s="857"/>
      <c r="G62" s="547">
        <v>170</v>
      </c>
      <c r="H62" s="547"/>
      <c r="I62" s="205" t="s">
        <v>240</v>
      </c>
      <c r="J62" s="547">
        <v>82111801</v>
      </c>
      <c r="K62" s="574" t="s">
        <v>83</v>
      </c>
      <c r="L62" s="548" t="s">
        <v>419</v>
      </c>
      <c r="M62" s="574" t="s">
        <v>596</v>
      </c>
      <c r="N62" s="624" t="s">
        <v>51</v>
      </c>
      <c r="O62" s="549">
        <v>10</v>
      </c>
      <c r="P62" s="550" t="s">
        <v>572</v>
      </c>
      <c r="Q62" s="579" t="s">
        <v>61</v>
      </c>
      <c r="R62" s="215">
        <v>7734262</v>
      </c>
      <c r="S62" s="209"/>
      <c r="T62" s="210">
        <f>+R62+S62</f>
        <v>7734262</v>
      </c>
      <c r="U62" s="271">
        <v>1</v>
      </c>
      <c r="V62" s="215">
        <v>7734262</v>
      </c>
      <c r="W62" s="209"/>
      <c r="X62" s="210">
        <f>+V62+W62</f>
        <v>7734262</v>
      </c>
      <c r="Y62" s="625">
        <v>42804</v>
      </c>
      <c r="Z62" s="626">
        <v>32</v>
      </c>
      <c r="AA62" s="210" t="s">
        <v>306</v>
      </c>
      <c r="AB62" s="554"/>
      <c r="AC62" s="554"/>
      <c r="AD62" s="554"/>
    </row>
    <row r="63" spans="1:32" ht="28.5" customHeight="1" x14ac:dyDescent="0.2">
      <c r="A63" s="841"/>
      <c r="B63" s="841"/>
      <c r="C63" s="841"/>
      <c r="D63" s="841"/>
      <c r="E63" s="841"/>
      <c r="F63" s="857"/>
      <c r="G63" s="547">
        <v>138</v>
      </c>
      <c r="H63" s="547"/>
      <c r="I63" s="206" t="s">
        <v>84</v>
      </c>
      <c r="J63" s="547">
        <v>82111801</v>
      </c>
      <c r="K63" s="574" t="s">
        <v>83</v>
      </c>
      <c r="L63" s="548" t="s">
        <v>419</v>
      </c>
      <c r="M63" s="574" t="s">
        <v>596</v>
      </c>
      <c r="N63" s="624" t="s">
        <v>56</v>
      </c>
      <c r="O63" s="549">
        <v>7</v>
      </c>
      <c r="P63" s="550" t="s">
        <v>572</v>
      </c>
      <c r="Q63" s="579" t="s">
        <v>61</v>
      </c>
      <c r="R63" s="215">
        <v>17040000</v>
      </c>
      <c r="S63" s="209"/>
      <c r="T63" s="210">
        <f t="shared" si="20"/>
        <v>17040000</v>
      </c>
      <c r="U63" s="271">
        <v>1</v>
      </c>
      <c r="V63" s="215">
        <v>17040000</v>
      </c>
      <c r="W63" s="209"/>
      <c r="X63" s="210">
        <f>+V63+W63</f>
        <v>17040000</v>
      </c>
      <c r="Y63" s="625">
        <v>42860</v>
      </c>
      <c r="Z63" s="626">
        <v>72</v>
      </c>
      <c r="AA63" s="210" t="s">
        <v>454</v>
      </c>
      <c r="AB63" s="554"/>
      <c r="AC63" s="554"/>
      <c r="AD63" s="554"/>
    </row>
    <row r="64" spans="1:32" ht="24" customHeight="1" x14ac:dyDescent="0.2">
      <c r="A64" s="841"/>
      <c r="B64" s="841"/>
      <c r="C64" s="841"/>
      <c r="D64" s="841"/>
      <c r="E64" s="841"/>
      <c r="F64" s="857"/>
      <c r="G64" s="627">
        <v>183</v>
      </c>
      <c r="H64" s="627"/>
      <c r="I64" s="205" t="s">
        <v>280</v>
      </c>
      <c r="J64" s="547">
        <v>82111801</v>
      </c>
      <c r="K64" s="574" t="s">
        <v>83</v>
      </c>
      <c r="L64" s="548" t="s">
        <v>419</v>
      </c>
      <c r="M64" s="574" t="s">
        <v>596</v>
      </c>
      <c r="N64" s="628" t="s">
        <v>56</v>
      </c>
      <c r="O64" s="549">
        <v>9</v>
      </c>
      <c r="P64" s="579" t="s">
        <v>105</v>
      </c>
      <c r="Q64" s="579" t="s">
        <v>105</v>
      </c>
      <c r="R64" s="215">
        <v>26155250</v>
      </c>
      <c r="S64" s="209"/>
      <c r="T64" s="210">
        <f>+R64+S64</f>
        <v>26155250</v>
      </c>
      <c r="U64" s="271">
        <v>1</v>
      </c>
      <c r="V64" s="215">
        <v>26155250</v>
      </c>
      <c r="W64" s="209"/>
      <c r="X64" s="210">
        <f>+V64+W64</f>
        <v>26155250</v>
      </c>
      <c r="Y64" s="629">
        <v>42877</v>
      </c>
      <c r="Z64" s="209">
        <v>87</v>
      </c>
      <c r="AA64" s="210" t="s">
        <v>484</v>
      </c>
      <c r="AB64" s="554"/>
      <c r="AC64" s="554"/>
      <c r="AD64" s="554"/>
    </row>
    <row r="65" spans="1:32" ht="42.75" x14ac:dyDescent="0.2">
      <c r="A65" s="841"/>
      <c r="B65" s="841"/>
      <c r="C65" s="841"/>
      <c r="D65" s="841"/>
      <c r="E65" s="841"/>
      <c r="F65" s="858"/>
      <c r="G65" s="578">
        <v>327</v>
      </c>
      <c r="H65" s="547"/>
      <c r="I65" s="219" t="s">
        <v>736</v>
      </c>
      <c r="J65" s="547"/>
      <c r="K65" s="548" t="s">
        <v>121</v>
      </c>
      <c r="L65" s="548"/>
      <c r="M65" s="548" t="s">
        <v>591</v>
      </c>
      <c r="N65" s="628" t="s">
        <v>99</v>
      </c>
      <c r="O65" s="549">
        <v>2</v>
      </c>
      <c r="P65" s="579" t="s">
        <v>694</v>
      </c>
      <c r="Q65" s="579"/>
      <c r="R65" s="215">
        <v>6844750</v>
      </c>
      <c r="S65" s="209"/>
      <c r="T65" s="210">
        <f>+R65+S65</f>
        <v>6844750</v>
      </c>
      <c r="U65" s="271"/>
      <c r="V65" s="215"/>
      <c r="W65" s="209"/>
      <c r="X65" s="210"/>
      <c r="Y65" s="629"/>
      <c r="Z65" s="209"/>
      <c r="AA65" s="210"/>
      <c r="AB65" s="554"/>
      <c r="AC65" s="554"/>
      <c r="AD65" s="554"/>
    </row>
    <row r="66" spans="1:32" ht="15" customHeight="1" x14ac:dyDescent="0.3">
      <c r="A66" s="841"/>
      <c r="B66" s="841"/>
      <c r="C66" s="841"/>
      <c r="D66" s="841"/>
      <c r="E66" s="841"/>
      <c r="F66" s="851" t="s">
        <v>170</v>
      </c>
      <c r="G66" s="852"/>
      <c r="H66" s="852"/>
      <c r="I66" s="852"/>
      <c r="J66" s="557"/>
      <c r="K66" s="557"/>
      <c r="L66" s="557"/>
      <c r="M66" s="557"/>
      <c r="N66" s="557"/>
      <c r="O66" s="557"/>
      <c r="P66" s="558"/>
      <c r="Q66" s="806"/>
      <c r="R66" s="214">
        <f>SUM(R60:R65)</f>
        <v>93960000</v>
      </c>
      <c r="S66" s="214">
        <f>SUM(S60:S65)</f>
        <v>0</v>
      </c>
      <c r="T66" s="214">
        <f>SUM(T60:T65)</f>
        <v>93960000</v>
      </c>
      <c r="U66" s="594"/>
      <c r="V66" s="214">
        <f>SUM(V60:V65)</f>
        <v>87115250</v>
      </c>
      <c r="W66" s="214">
        <f t="shared" ref="W66:X66" si="22">SUM(W60:W65)</f>
        <v>0</v>
      </c>
      <c r="X66" s="214">
        <f t="shared" si="22"/>
        <v>87115250</v>
      </c>
      <c r="Y66" s="214"/>
      <c r="Z66" s="214"/>
      <c r="AA66" s="214"/>
      <c r="AB66" s="561"/>
      <c r="AC66" s="778">
        <v>65257250</v>
      </c>
      <c r="AD66" s="563">
        <f>+AB66+AC66</f>
        <v>65257250</v>
      </c>
    </row>
    <row r="67" spans="1:32" ht="30" customHeight="1" x14ac:dyDescent="0.2">
      <c r="A67" s="841"/>
      <c r="B67" s="841"/>
      <c r="C67" s="841"/>
      <c r="D67" s="841"/>
      <c r="E67" s="841"/>
      <c r="F67" s="856" t="s">
        <v>109</v>
      </c>
      <c r="G67" s="547">
        <v>140</v>
      </c>
      <c r="H67" s="547"/>
      <c r="I67" s="205" t="s">
        <v>85</v>
      </c>
      <c r="J67" s="547">
        <v>82141504</v>
      </c>
      <c r="K67" s="548" t="s">
        <v>121</v>
      </c>
      <c r="L67" s="548" t="s">
        <v>415</v>
      </c>
      <c r="M67" s="548" t="s">
        <v>591</v>
      </c>
      <c r="N67" s="624" t="s">
        <v>51</v>
      </c>
      <c r="O67" s="549">
        <v>10</v>
      </c>
      <c r="P67" s="550" t="s">
        <v>572</v>
      </c>
      <c r="Q67" s="550" t="s">
        <v>61</v>
      </c>
      <c r="R67" s="208">
        <f>13295908</f>
        <v>13295908</v>
      </c>
      <c r="S67" s="209"/>
      <c r="T67" s="210">
        <f t="shared" ref="T67:T75" si="23">SUM(R67:S67)</f>
        <v>13295908</v>
      </c>
      <c r="U67" s="271">
        <v>1</v>
      </c>
      <c r="V67" s="208">
        <f>13295908</f>
        <v>13295908</v>
      </c>
      <c r="W67" s="209"/>
      <c r="X67" s="210">
        <f t="shared" ref="X67" si="24">SUM(V67:W67)</f>
        <v>13295908</v>
      </c>
      <c r="Y67" s="551">
        <v>42794</v>
      </c>
      <c r="Z67" s="626">
        <v>13</v>
      </c>
      <c r="AA67" s="210" t="s">
        <v>264</v>
      </c>
      <c r="AB67" s="554"/>
      <c r="AC67" s="554"/>
      <c r="AD67" s="554"/>
    </row>
    <row r="68" spans="1:32" ht="33" customHeight="1" x14ac:dyDescent="0.2">
      <c r="A68" s="841"/>
      <c r="B68" s="841"/>
      <c r="C68" s="841"/>
      <c r="D68" s="841"/>
      <c r="E68" s="841"/>
      <c r="F68" s="857"/>
      <c r="G68" s="547">
        <v>71</v>
      </c>
      <c r="H68" s="547"/>
      <c r="I68" s="205" t="s">
        <v>45</v>
      </c>
      <c r="J68" s="547">
        <v>80111621</v>
      </c>
      <c r="K68" s="548" t="s">
        <v>86</v>
      </c>
      <c r="L68" s="548" t="s">
        <v>417</v>
      </c>
      <c r="M68" s="548" t="s">
        <v>593</v>
      </c>
      <c r="N68" s="624" t="s">
        <v>87</v>
      </c>
      <c r="O68" s="549">
        <v>10</v>
      </c>
      <c r="P68" s="550" t="s">
        <v>572</v>
      </c>
      <c r="Q68" s="550" t="s">
        <v>61</v>
      </c>
      <c r="R68" s="208">
        <v>22717000</v>
      </c>
      <c r="S68" s="209"/>
      <c r="T68" s="210">
        <f t="shared" si="23"/>
        <v>22717000</v>
      </c>
      <c r="U68" s="271">
        <v>1</v>
      </c>
      <c r="V68" s="208">
        <v>22717000</v>
      </c>
      <c r="W68" s="209"/>
      <c r="X68" s="210">
        <f>+V68+W68</f>
        <v>22717000</v>
      </c>
      <c r="Y68" s="551">
        <v>42797</v>
      </c>
      <c r="Z68" s="626">
        <v>21</v>
      </c>
      <c r="AA68" s="210" t="s">
        <v>275</v>
      </c>
      <c r="AB68" s="554"/>
      <c r="AC68" s="554"/>
      <c r="AD68" s="554"/>
    </row>
    <row r="69" spans="1:32" ht="40.5" customHeight="1" x14ac:dyDescent="0.2">
      <c r="A69" s="842"/>
      <c r="B69" s="842"/>
      <c r="C69" s="842"/>
      <c r="D69" s="842"/>
      <c r="E69" s="842"/>
      <c r="F69" s="857"/>
      <c r="G69" s="547">
        <v>184</v>
      </c>
      <c r="H69" s="547"/>
      <c r="I69" s="205" t="s">
        <v>281</v>
      </c>
      <c r="J69" s="547">
        <v>80111621</v>
      </c>
      <c r="K69" s="548" t="s">
        <v>86</v>
      </c>
      <c r="L69" s="548" t="s">
        <v>417</v>
      </c>
      <c r="M69" s="548" t="s">
        <v>593</v>
      </c>
      <c r="N69" s="624" t="s">
        <v>87</v>
      </c>
      <c r="O69" s="549">
        <v>10</v>
      </c>
      <c r="P69" s="550" t="s">
        <v>572</v>
      </c>
      <c r="Q69" s="550" t="s">
        <v>61</v>
      </c>
      <c r="R69" s="208">
        <f>25156700-22717000</f>
        <v>2439700</v>
      </c>
      <c r="S69" s="209"/>
      <c r="T69" s="210">
        <f>+R69+S69</f>
        <v>2439700</v>
      </c>
      <c r="U69" s="271">
        <v>1</v>
      </c>
      <c r="V69" s="208">
        <f>+R69</f>
        <v>2439700</v>
      </c>
      <c r="W69" s="209"/>
      <c r="X69" s="210">
        <f>+V69</f>
        <v>2439700</v>
      </c>
      <c r="Y69" s="551">
        <v>42804</v>
      </c>
      <c r="Z69" s="626">
        <v>68</v>
      </c>
      <c r="AA69" s="210" t="s">
        <v>308</v>
      </c>
      <c r="AB69" s="554"/>
      <c r="AC69" s="554"/>
      <c r="AD69" s="554"/>
    </row>
    <row r="70" spans="1:32" ht="53.25" customHeight="1" x14ac:dyDescent="0.2">
      <c r="A70" s="841"/>
      <c r="B70" s="841"/>
      <c r="C70" s="841"/>
      <c r="D70" s="841"/>
      <c r="E70" s="841"/>
      <c r="F70" s="857"/>
      <c r="G70" s="547">
        <v>204</v>
      </c>
      <c r="H70" s="547"/>
      <c r="I70" s="206" t="s">
        <v>330</v>
      </c>
      <c r="J70" s="548">
        <v>80111601</v>
      </c>
      <c r="K70" s="548" t="s">
        <v>121</v>
      </c>
      <c r="L70" s="548" t="s">
        <v>415</v>
      </c>
      <c r="M70" s="548" t="s">
        <v>591</v>
      </c>
      <c r="N70" s="549" t="s">
        <v>63</v>
      </c>
      <c r="O70" s="549">
        <v>8</v>
      </c>
      <c r="P70" s="550" t="s">
        <v>572</v>
      </c>
      <c r="Q70" s="550" t="s">
        <v>61</v>
      </c>
      <c r="R70" s="208">
        <v>76886771</v>
      </c>
      <c r="S70" s="209"/>
      <c r="T70" s="210">
        <f>+R70+S70</f>
        <v>76886771</v>
      </c>
      <c r="U70" s="271">
        <v>1</v>
      </c>
      <c r="V70" s="208">
        <v>76886771</v>
      </c>
      <c r="W70" s="209"/>
      <c r="X70" s="210">
        <f>+V70+W70</f>
        <v>76886771</v>
      </c>
      <c r="Y70" s="551">
        <v>42843</v>
      </c>
      <c r="Z70" s="552">
        <v>45</v>
      </c>
      <c r="AA70" s="556" t="s">
        <v>394</v>
      </c>
      <c r="AB70" s="554"/>
      <c r="AC70" s="554"/>
      <c r="AD70" s="554"/>
    </row>
    <row r="71" spans="1:32" ht="23.25" customHeight="1" x14ac:dyDescent="0.2">
      <c r="A71" s="841"/>
      <c r="B71" s="841"/>
      <c r="C71" s="841"/>
      <c r="D71" s="841"/>
      <c r="E71" s="841"/>
      <c r="F71" s="857"/>
      <c r="G71" s="547">
        <v>270</v>
      </c>
      <c r="H71" s="547"/>
      <c r="I71" s="206" t="s">
        <v>464</v>
      </c>
      <c r="J71" s="548">
        <v>80111601</v>
      </c>
      <c r="K71" s="548" t="s">
        <v>121</v>
      </c>
      <c r="L71" s="548" t="s">
        <v>415</v>
      </c>
      <c r="M71" s="548" t="s">
        <v>591</v>
      </c>
      <c r="N71" s="630" t="s">
        <v>56</v>
      </c>
      <c r="O71" s="630">
        <v>1</v>
      </c>
      <c r="P71" s="550" t="s">
        <v>572</v>
      </c>
      <c r="Q71" s="631" t="s">
        <v>61</v>
      </c>
      <c r="R71" s="208">
        <v>2932160</v>
      </c>
      <c r="S71" s="209"/>
      <c r="T71" s="231">
        <f>+R71+S71</f>
        <v>2932160</v>
      </c>
      <c r="U71" s="632"/>
      <c r="V71" s="211">
        <v>2932160</v>
      </c>
      <c r="W71" s="212"/>
      <c r="X71" s="210">
        <f>+V71+W71</f>
        <v>2932160</v>
      </c>
      <c r="Y71" s="633">
        <v>42874</v>
      </c>
      <c r="Z71" s="634">
        <v>4</v>
      </c>
      <c r="AA71" s="635" t="s">
        <v>529</v>
      </c>
      <c r="AB71" s="554"/>
      <c r="AC71" s="554"/>
      <c r="AD71" s="554"/>
    </row>
    <row r="72" spans="1:32" ht="36.75" customHeight="1" x14ac:dyDescent="0.2">
      <c r="A72" s="841"/>
      <c r="B72" s="841"/>
      <c r="C72" s="841"/>
      <c r="D72" s="841"/>
      <c r="E72" s="841"/>
      <c r="F72" s="857"/>
      <c r="G72" s="578">
        <v>327</v>
      </c>
      <c r="H72" s="547"/>
      <c r="I72" s="219" t="s">
        <v>736</v>
      </c>
      <c r="J72" s="548"/>
      <c r="K72" s="548" t="s">
        <v>121</v>
      </c>
      <c r="L72" s="548"/>
      <c r="M72" s="548" t="s">
        <v>591</v>
      </c>
      <c r="N72" s="628" t="s">
        <v>99</v>
      </c>
      <c r="O72" s="549">
        <v>2</v>
      </c>
      <c r="P72" s="579" t="s">
        <v>694</v>
      </c>
      <c r="Q72" s="631"/>
      <c r="R72" s="208">
        <v>787290</v>
      </c>
      <c r="S72" s="209"/>
      <c r="T72" s="231">
        <v>787290</v>
      </c>
      <c r="U72" s="632"/>
      <c r="V72" s="211"/>
      <c r="W72" s="212"/>
      <c r="X72" s="210"/>
      <c r="Y72" s="633"/>
      <c r="Z72" s="634"/>
      <c r="AA72" s="635"/>
      <c r="AB72" s="554"/>
      <c r="AC72" s="554"/>
      <c r="AD72" s="554"/>
    </row>
    <row r="73" spans="1:32" ht="44.25" customHeight="1" x14ac:dyDescent="0.2">
      <c r="A73" s="841"/>
      <c r="B73" s="841"/>
      <c r="C73" s="841"/>
      <c r="D73" s="841"/>
      <c r="E73" s="841"/>
      <c r="F73" s="857"/>
      <c r="G73" s="547">
        <v>172</v>
      </c>
      <c r="H73" s="547"/>
      <c r="I73" s="205" t="s">
        <v>242</v>
      </c>
      <c r="J73" s="547">
        <v>81112103</v>
      </c>
      <c r="K73" s="548" t="s">
        <v>121</v>
      </c>
      <c r="L73" s="548" t="s">
        <v>415</v>
      </c>
      <c r="M73" s="548" t="s">
        <v>591</v>
      </c>
      <c r="N73" s="624" t="s">
        <v>87</v>
      </c>
      <c r="O73" s="549">
        <v>10</v>
      </c>
      <c r="P73" s="550" t="s">
        <v>572</v>
      </c>
      <c r="Q73" s="550" t="s">
        <v>61</v>
      </c>
      <c r="R73" s="208">
        <v>30605075</v>
      </c>
      <c r="S73" s="209"/>
      <c r="T73" s="210">
        <f t="shared" si="23"/>
        <v>30605075</v>
      </c>
      <c r="U73" s="271">
        <v>1</v>
      </c>
      <c r="V73" s="208">
        <v>30605075</v>
      </c>
      <c r="W73" s="209"/>
      <c r="X73" s="210">
        <f>+V73+W73</f>
        <v>30605075</v>
      </c>
      <c r="Y73" s="551">
        <v>42801</v>
      </c>
      <c r="Z73" s="626">
        <v>27</v>
      </c>
      <c r="AA73" s="210" t="s">
        <v>274</v>
      </c>
      <c r="AB73" s="554"/>
      <c r="AC73" s="554"/>
      <c r="AD73" s="554"/>
    </row>
    <row r="74" spans="1:32" ht="33.75" customHeight="1" x14ac:dyDescent="0.2">
      <c r="A74" s="841"/>
      <c r="B74" s="841"/>
      <c r="C74" s="841"/>
      <c r="D74" s="841"/>
      <c r="E74" s="841"/>
      <c r="F74" s="857"/>
      <c r="G74" s="547">
        <v>171</v>
      </c>
      <c r="H74" s="547"/>
      <c r="I74" s="205" t="s">
        <v>241</v>
      </c>
      <c r="J74" s="547">
        <v>83121702</v>
      </c>
      <c r="K74" s="574" t="s">
        <v>83</v>
      </c>
      <c r="L74" s="548" t="s">
        <v>415</v>
      </c>
      <c r="M74" s="548" t="s">
        <v>591</v>
      </c>
      <c r="N74" s="624" t="s">
        <v>87</v>
      </c>
      <c r="O74" s="549">
        <v>2</v>
      </c>
      <c r="P74" s="550" t="s">
        <v>572</v>
      </c>
      <c r="Q74" s="579" t="s">
        <v>61</v>
      </c>
      <c r="R74" s="208">
        <v>8825010</v>
      </c>
      <c r="S74" s="209"/>
      <c r="T74" s="210">
        <f t="shared" si="23"/>
        <v>8825010</v>
      </c>
      <c r="U74" s="271">
        <v>1</v>
      </c>
      <c r="V74" s="208">
        <v>8825010</v>
      </c>
      <c r="W74" s="209"/>
      <c r="X74" s="210">
        <f t="shared" ref="X74" si="25">SUM(V74:W74)</f>
        <v>8825010</v>
      </c>
      <c r="Y74" s="551">
        <v>42794</v>
      </c>
      <c r="Z74" s="626">
        <v>17</v>
      </c>
      <c r="AA74" s="210" t="s">
        <v>265</v>
      </c>
      <c r="AB74" s="554"/>
      <c r="AC74" s="554"/>
      <c r="AD74" s="554"/>
    </row>
    <row r="75" spans="1:32" ht="69" customHeight="1" x14ac:dyDescent="0.2">
      <c r="A75" s="841"/>
      <c r="B75" s="841"/>
      <c r="C75" s="841"/>
      <c r="D75" s="841"/>
      <c r="E75" s="841"/>
      <c r="F75" s="858"/>
      <c r="G75" s="547">
        <v>174</v>
      </c>
      <c r="H75" s="547"/>
      <c r="I75" s="205" t="s">
        <v>251</v>
      </c>
      <c r="J75" s="547">
        <v>80111621</v>
      </c>
      <c r="K75" s="548" t="s">
        <v>121</v>
      </c>
      <c r="L75" s="548" t="s">
        <v>415</v>
      </c>
      <c r="M75" s="548" t="s">
        <v>591</v>
      </c>
      <c r="N75" s="624" t="s">
        <v>51</v>
      </c>
      <c r="O75" s="549">
        <v>10</v>
      </c>
      <c r="P75" s="550" t="s">
        <v>572</v>
      </c>
      <c r="Q75" s="579" t="s">
        <v>61</v>
      </c>
      <c r="R75" s="208">
        <f>67000000+65905523</f>
        <v>132905523</v>
      </c>
      <c r="S75" s="209"/>
      <c r="T75" s="210">
        <f t="shared" si="23"/>
        <v>132905523</v>
      </c>
      <c r="U75" s="271">
        <v>1</v>
      </c>
      <c r="V75" s="208">
        <v>132905523</v>
      </c>
      <c r="W75" s="209"/>
      <c r="X75" s="210">
        <f>+V75+W75</f>
        <v>132905523</v>
      </c>
      <c r="Y75" s="551">
        <v>42804</v>
      </c>
      <c r="Z75" s="626">
        <v>33</v>
      </c>
      <c r="AA75" s="210" t="s">
        <v>307</v>
      </c>
      <c r="AB75" s="554"/>
      <c r="AC75" s="554"/>
      <c r="AD75" s="554"/>
    </row>
    <row r="76" spans="1:32" ht="19.5" customHeight="1" x14ac:dyDescent="0.25">
      <c r="A76" s="841"/>
      <c r="B76" s="841"/>
      <c r="C76" s="841"/>
      <c r="D76" s="841"/>
      <c r="E76" s="841"/>
      <c r="F76" s="851" t="s">
        <v>170</v>
      </c>
      <c r="G76" s="852"/>
      <c r="H76" s="852"/>
      <c r="I76" s="853"/>
      <c r="J76" s="557"/>
      <c r="K76" s="557"/>
      <c r="L76" s="557"/>
      <c r="M76" s="557"/>
      <c r="N76" s="557"/>
      <c r="O76" s="557"/>
      <c r="P76" s="558"/>
      <c r="Q76" s="806"/>
      <c r="R76" s="214">
        <f>SUM(R67:R75)</f>
        <v>291394437</v>
      </c>
      <c r="S76" s="214">
        <f>SUM(S67:S75)</f>
        <v>0</v>
      </c>
      <c r="T76" s="214">
        <f>SUM(T67:T75)</f>
        <v>291394437</v>
      </c>
      <c r="U76" s="594"/>
      <c r="V76" s="214">
        <f>SUM(V67:V75)</f>
        <v>290607147</v>
      </c>
      <c r="W76" s="214">
        <f>SUM(W67:W75)</f>
        <v>0</v>
      </c>
      <c r="X76" s="214">
        <f>SUM(X67:X75)</f>
        <v>290607147</v>
      </c>
      <c r="Y76" s="214"/>
      <c r="Z76" s="214"/>
      <c r="AA76" s="214"/>
      <c r="AB76" s="561"/>
      <c r="AC76" s="636">
        <v>234023313.5</v>
      </c>
      <c r="AD76" s="636">
        <f>+AC76</f>
        <v>234023313.5</v>
      </c>
    </row>
    <row r="77" spans="1:32" ht="54.75" customHeight="1" x14ac:dyDescent="0.3">
      <c r="A77" s="841"/>
      <c r="B77" s="841"/>
      <c r="C77" s="841"/>
      <c r="D77" s="841"/>
      <c r="E77" s="841"/>
      <c r="F77" s="264" t="s">
        <v>110</v>
      </c>
      <c r="G77" s="547">
        <v>204</v>
      </c>
      <c r="H77" s="547"/>
      <c r="I77" s="206" t="s">
        <v>330</v>
      </c>
      <c r="J77" s="637">
        <v>82111902</v>
      </c>
      <c r="K77" s="548" t="s">
        <v>121</v>
      </c>
      <c r="L77" s="548" t="s">
        <v>415</v>
      </c>
      <c r="M77" s="548" t="s">
        <v>597</v>
      </c>
      <c r="N77" s="624" t="s">
        <v>63</v>
      </c>
      <c r="O77" s="549">
        <v>8</v>
      </c>
      <c r="P77" s="550" t="s">
        <v>572</v>
      </c>
      <c r="Q77" s="550" t="s">
        <v>61</v>
      </c>
      <c r="R77" s="215">
        <v>1645582</v>
      </c>
      <c r="S77" s="209"/>
      <c r="T77" s="210">
        <f>+R77+S77</f>
        <v>1645582</v>
      </c>
      <c r="U77" s="271">
        <v>1</v>
      </c>
      <c r="V77" s="215">
        <v>1645582</v>
      </c>
      <c r="W77" s="212"/>
      <c r="X77" s="210">
        <f>+V77+W77</f>
        <v>1645582</v>
      </c>
      <c r="Y77" s="551">
        <v>42843</v>
      </c>
      <c r="Z77" s="552">
        <v>45</v>
      </c>
      <c r="AA77" s="556" t="s">
        <v>394</v>
      </c>
      <c r="AB77" s="554"/>
      <c r="AC77" s="779">
        <v>55599</v>
      </c>
      <c r="AD77" s="779">
        <f>+AB77+AC77</f>
        <v>55599</v>
      </c>
    </row>
    <row r="78" spans="1:32" ht="15.75" customHeight="1" x14ac:dyDescent="0.2">
      <c r="A78" s="841"/>
      <c r="B78" s="841"/>
      <c r="C78" s="841"/>
      <c r="D78" s="841"/>
      <c r="E78" s="841"/>
      <c r="F78" s="854" t="s">
        <v>170</v>
      </c>
      <c r="G78" s="855"/>
      <c r="H78" s="855"/>
      <c r="I78" s="855"/>
      <c r="J78" s="557"/>
      <c r="K78" s="557"/>
      <c r="L78" s="557"/>
      <c r="M78" s="557"/>
      <c r="N78" s="557"/>
      <c r="O78" s="557"/>
      <c r="P78" s="558"/>
      <c r="Q78" s="806"/>
      <c r="R78" s="214">
        <f>+R77</f>
        <v>1645582</v>
      </c>
      <c r="S78" s="214">
        <f t="shared" ref="S78:T78" si="26">+S77</f>
        <v>0</v>
      </c>
      <c r="T78" s="214">
        <f t="shared" si="26"/>
        <v>1645582</v>
      </c>
      <c r="U78" s="594"/>
      <c r="V78" s="214">
        <f>+V77</f>
        <v>1645582</v>
      </c>
      <c r="W78" s="214">
        <f>+W77</f>
        <v>0</v>
      </c>
      <c r="X78" s="214">
        <f>+X77</f>
        <v>1645582</v>
      </c>
      <c r="Y78" s="595"/>
      <c r="Z78" s="214"/>
      <c r="AA78" s="214"/>
      <c r="AB78" s="214">
        <f>+AB77</f>
        <v>0</v>
      </c>
      <c r="AC78" s="214">
        <f t="shared" ref="AC78:AD78" si="27">+AC77</f>
        <v>55599</v>
      </c>
      <c r="AD78" s="214">
        <f t="shared" si="27"/>
        <v>55599</v>
      </c>
    </row>
    <row r="79" spans="1:32" ht="18.75" customHeight="1" x14ac:dyDescent="0.25">
      <c r="A79" s="841"/>
      <c r="B79" s="841"/>
      <c r="C79" s="841"/>
      <c r="D79" s="841"/>
      <c r="E79" s="841"/>
      <c r="F79" s="838" t="s">
        <v>17</v>
      </c>
      <c r="G79" s="838"/>
      <c r="H79" s="838"/>
      <c r="I79" s="838"/>
      <c r="J79" s="838"/>
      <c r="K79" s="838"/>
      <c r="L79" s="838"/>
      <c r="M79" s="838"/>
      <c r="N79" s="838"/>
      <c r="O79" s="838"/>
      <c r="P79" s="838"/>
      <c r="Q79" s="801"/>
      <c r="R79" s="216">
        <f>+R66+R76+R78</f>
        <v>387000019</v>
      </c>
      <c r="S79" s="216">
        <f>+S66+S76+S78</f>
        <v>0</v>
      </c>
      <c r="T79" s="216">
        <f>+T66+T76+T78</f>
        <v>387000019</v>
      </c>
      <c r="U79" s="638"/>
      <c r="V79" s="216">
        <f>+V66+V76+V78</f>
        <v>379367979</v>
      </c>
      <c r="W79" s="216">
        <f>+W66+W76+W78</f>
        <v>0</v>
      </c>
      <c r="X79" s="216">
        <f>+X66+X76+X78</f>
        <v>379367979</v>
      </c>
      <c r="Y79" s="639"/>
      <c r="Z79" s="216"/>
      <c r="AA79" s="216"/>
      <c r="AB79" s="640">
        <f>+AB66+AB76+AB78</f>
        <v>0</v>
      </c>
      <c r="AC79" s="641">
        <f t="shared" ref="AC79:AD79" si="28">+AC66+AC76+AC78</f>
        <v>299336162.5</v>
      </c>
      <c r="AD79" s="641">
        <f t="shared" si="28"/>
        <v>299336162.5</v>
      </c>
    </row>
    <row r="80" spans="1:32" ht="26.25" customHeight="1" x14ac:dyDescent="0.25">
      <c r="A80" s="837" t="s">
        <v>16</v>
      </c>
      <c r="B80" s="837"/>
      <c r="C80" s="837"/>
      <c r="D80" s="837"/>
      <c r="E80" s="837"/>
      <c r="F80" s="837"/>
      <c r="G80" s="837"/>
      <c r="H80" s="837"/>
      <c r="I80" s="837"/>
      <c r="J80" s="837"/>
      <c r="K80" s="837"/>
      <c r="L80" s="837"/>
      <c r="M80" s="837"/>
      <c r="N80" s="837"/>
      <c r="O80" s="837"/>
      <c r="P80" s="837"/>
      <c r="Q80" s="800"/>
      <c r="R80" s="217">
        <f>+R79+R59+R31+R21</f>
        <v>1336000000</v>
      </c>
      <c r="S80" s="217">
        <f>+S79+S59+S31+S21</f>
        <v>598000000</v>
      </c>
      <c r="T80" s="217">
        <f>+T79+T59+T31+T21</f>
        <v>1934000000</v>
      </c>
      <c r="U80" s="217"/>
      <c r="V80" s="217">
        <f>+V79+V59+V31+V21</f>
        <v>1328367960</v>
      </c>
      <c r="W80" s="217">
        <f>+W79+W59+W31+W21</f>
        <v>598000000</v>
      </c>
      <c r="X80" s="217">
        <f>+X79+X59+X31+X21</f>
        <v>1926367960</v>
      </c>
      <c r="Y80" s="217"/>
      <c r="Z80" s="217"/>
      <c r="AA80" s="217"/>
      <c r="AB80" s="642">
        <f>+AB21+AB31+AB59+AB79</f>
        <v>465226856</v>
      </c>
      <c r="AC80" s="642">
        <f>+AC21+AC31+AC59+AC79</f>
        <v>1006708561.5</v>
      </c>
      <c r="AD80" s="642">
        <f>+AB80+AC80</f>
        <v>1471935417.5</v>
      </c>
      <c r="AF80" s="555"/>
    </row>
    <row r="81" spans="1:31" ht="86.25" customHeight="1" x14ac:dyDescent="0.2">
      <c r="A81" s="914" t="str">
        <f>+E13</f>
        <v>113 Bogotá reconoce a sus maestras, maestros y directivos docentes.</v>
      </c>
      <c r="B81" s="908" t="s">
        <v>148</v>
      </c>
      <c r="C81" s="912" t="s">
        <v>131</v>
      </c>
      <c r="D81" s="841" t="s">
        <v>37</v>
      </c>
      <c r="E81" s="841" t="s">
        <v>731</v>
      </c>
      <c r="F81" s="859" t="s">
        <v>43</v>
      </c>
      <c r="G81" s="546">
        <v>78</v>
      </c>
      <c r="H81" s="546"/>
      <c r="I81" s="220" t="s">
        <v>119</v>
      </c>
      <c r="J81" s="547">
        <v>80111621</v>
      </c>
      <c r="K81" s="643" t="s">
        <v>206</v>
      </c>
      <c r="L81" s="548" t="s">
        <v>442</v>
      </c>
      <c r="M81" s="643" t="s">
        <v>598</v>
      </c>
      <c r="N81" s="630" t="s">
        <v>87</v>
      </c>
      <c r="O81" s="549">
        <v>6</v>
      </c>
      <c r="P81" s="550" t="s">
        <v>572</v>
      </c>
      <c r="Q81" s="575" t="s">
        <v>61</v>
      </c>
      <c r="R81" s="221">
        <v>48689322</v>
      </c>
      <c r="S81" s="215"/>
      <c r="T81" s="210">
        <f t="shared" ref="T81" si="29">SUM(R81:S81)</f>
        <v>48689322</v>
      </c>
      <c r="U81" s="271">
        <v>1</v>
      </c>
      <c r="V81" s="221">
        <f>+R81</f>
        <v>48689322</v>
      </c>
      <c r="W81" s="222"/>
      <c r="X81" s="210">
        <f>+V81+W81</f>
        <v>48689322</v>
      </c>
      <c r="Y81" s="644">
        <v>42815</v>
      </c>
      <c r="Z81" s="645">
        <v>37</v>
      </c>
      <c r="AA81" s="210" t="s">
        <v>319</v>
      </c>
      <c r="AB81" s="554">
        <v>0</v>
      </c>
      <c r="AC81" s="554"/>
      <c r="AD81" s="554"/>
      <c r="AE81" s="646"/>
    </row>
    <row r="82" spans="1:31" ht="18" customHeight="1" x14ac:dyDescent="0.2">
      <c r="A82" s="906"/>
      <c r="B82" s="909"/>
      <c r="C82" s="913"/>
      <c r="D82" s="841"/>
      <c r="E82" s="841"/>
      <c r="F82" s="860"/>
      <c r="G82" s="851" t="s">
        <v>170</v>
      </c>
      <c r="H82" s="852"/>
      <c r="I82" s="852"/>
      <c r="J82" s="852"/>
      <c r="K82" s="852"/>
      <c r="L82" s="852"/>
      <c r="M82" s="852"/>
      <c r="N82" s="852"/>
      <c r="O82" s="852"/>
      <c r="P82" s="853"/>
      <c r="Q82" s="806"/>
      <c r="R82" s="223">
        <f>SUM(R81:R81)</f>
        <v>48689322</v>
      </c>
      <c r="S82" s="223">
        <f>SUM(S81:S81)</f>
        <v>0</v>
      </c>
      <c r="T82" s="223">
        <f>SUM(T81:T81)</f>
        <v>48689322</v>
      </c>
      <c r="U82" s="647"/>
      <c r="V82" s="223">
        <f>+V81</f>
        <v>48689322</v>
      </c>
      <c r="W82" s="223">
        <f>+W81</f>
        <v>0</v>
      </c>
      <c r="X82" s="223">
        <f>+X81</f>
        <v>48689322</v>
      </c>
      <c r="Y82" s="648"/>
      <c r="Z82" s="223"/>
      <c r="AA82" s="223"/>
      <c r="AB82" s="223"/>
      <c r="AC82" s="223">
        <v>48689322</v>
      </c>
      <c r="AD82" s="223">
        <f>+AB82+AC82</f>
        <v>48689322</v>
      </c>
    </row>
    <row r="83" spans="1:31" ht="15" customHeight="1" x14ac:dyDescent="0.2">
      <c r="A83" s="906"/>
      <c r="B83" s="909"/>
      <c r="C83" s="913"/>
      <c r="D83" s="841"/>
      <c r="E83" s="841"/>
      <c r="F83" s="838" t="s">
        <v>17</v>
      </c>
      <c r="G83" s="838"/>
      <c r="H83" s="838"/>
      <c r="I83" s="838"/>
      <c r="J83" s="838"/>
      <c r="K83" s="838"/>
      <c r="L83" s="838"/>
      <c r="M83" s="838"/>
      <c r="N83" s="838"/>
      <c r="O83" s="838"/>
      <c r="P83" s="838"/>
      <c r="Q83" s="801"/>
      <c r="R83" s="216">
        <f>+R82</f>
        <v>48689322</v>
      </c>
      <c r="S83" s="216">
        <f t="shared" ref="S83:T83" si="30">+S82</f>
        <v>0</v>
      </c>
      <c r="T83" s="216">
        <f t="shared" si="30"/>
        <v>48689322</v>
      </c>
      <c r="U83" s="638"/>
      <c r="V83" s="216">
        <f>+V82</f>
        <v>48689322</v>
      </c>
      <c r="W83" s="216">
        <f t="shared" ref="W83:X83" si="31">+W82</f>
        <v>0</v>
      </c>
      <c r="X83" s="216">
        <f t="shared" si="31"/>
        <v>48689322</v>
      </c>
      <c r="Y83" s="639"/>
      <c r="Z83" s="216"/>
      <c r="AA83" s="216"/>
      <c r="AB83" s="216">
        <f>+AB82</f>
        <v>0</v>
      </c>
      <c r="AC83" s="216">
        <f t="shared" ref="AC83:AD83" si="32">+AC82</f>
        <v>48689322</v>
      </c>
      <c r="AD83" s="216">
        <f t="shared" si="32"/>
        <v>48689322</v>
      </c>
    </row>
    <row r="84" spans="1:31" ht="40.5" customHeight="1" x14ac:dyDescent="0.2">
      <c r="A84" s="906"/>
      <c r="B84" s="909"/>
      <c r="C84" s="913"/>
      <c r="D84" s="841" t="s">
        <v>194</v>
      </c>
      <c r="E84" s="841" t="s">
        <v>364</v>
      </c>
      <c r="F84" s="859" t="s">
        <v>732</v>
      </c>
      <c r="G84" s="546">
        <v>151</v>
      </c>
      <c r="H84" s="546"/>
      <c r="I84" s="781" t="s">
        <v>89</v>
      </c>
      <c r="J84" s="548">
        <v>80111621</v>
      </c>
      <c r="K84" s="548" t="s">
        <v>81</v>
      </c>
      <c r="L84" s="548" t="s">
        <v>416</v>
      </c>
      <c r="M84" s="548" t="s">
        <v>599</v>
      </c>
      <c r="N84" s="549" t="s">
        <v>51</v>
      </c>
      <c r="O84" s="549">
        <v>9</v>
      </c>
      <c r="P84" s="550" t="s">
        <v>572</v>
      </c>
      <c r="Q84" s="631" t="s">
        <v>61</v>
      </c>
      <c r="R84" s="208">
        <v>59755077</v>
      </c>
      <c r="S84" s="215"/>
      <c r="T84" s="210">
        <f t="shared" ref="T84:T88" si="33">SUM(R84:S84)</f>
        <v>59755077</v>
      </c>
      <c r="U84" s="271">
        <v>1</v>
      </c>
      <c r="V84" s="211">
        <v>59755077</v>
      </c>
      <c r="W84" s="222"/>
      <c r="X84" s="210">
        <f t="shared" ref="X84:X86" si="34">SUM(V84:W84)</f>
        <v>59755077</v>
      </c>
      <c r="Y84" s="644">
        <v>42794</v>
      </c>
      <c r="Z84" s="645">
        <v>9</v>
      </c>
      <c r="AA84" s="649" t="s">
        <v>266</v>
      </c>
      <c r="AB84" s="554"/>
      <c r="AC84" s="554"/>
      <c r="AD84" s="554"/>
    </row>
    <row r="85" spans="1:31" ht="38.25" customHeight="1" x14ac:dyDescent="0.2">
      <c r="A85" s="906"/>
      <c r="B85" s="909"/>
      <c r="C85" s="913"/>
      <c r="D85" s="841"/>
      <c r="E85" s="841"/>
      <c r="F85" s="869"/>
      <c r="G85" s="546">
        <v>152</v>
      </c>
      <c r="H85" s="546"/>
      <c r="I85" s="226" t="s">
        <v>90</v>
      </c>
      <c r="J85" s="548">
        <v>80111621</v>
      </c>
      <c r="K85" s="548" t="s">
        <v>81</v>
      </c>
      <c r="L85" s="548" t="s">
        <v>416</v>
      </c>
      <c r="M85" s="548" t="s">
        <v>599</v>
      </c>
      <c r="N85" s="549" t="s">
        <v>51</v>
      </c>
      <c r="O85" s="549">
        <v>9</v>
      </c>
      <c r="P85" s="550" t="s">
        <v>572</v>
      </c>
      <c r="Q85" s="631" t="s">
        <v>61</v>
      </c>
      <c r="R85" s="208">
        <v>59755077</v>
      </c>
      <c r="S85" s="215"/>
      <c r="T85" s="210">
        <f t="shared" si="33"/>
        <v>59755077</v>
      </c>
      <c r="U85" s="271">
        <v>1</v>
      </c>
      <c r="V85" s="211">
        <v>59755077</v>
      </c>
      <c r="W85" s="222"/>
      <c r="X85" s="210">
        <f t="shared" si="34"/>
        <v>59755077</v>
      </c>
      <c r="Y85" s="644">
        <v>42794</v>
      </c>
      <c r="Z85" s="645">
        <v>10</v>
      </c>
      <c r="AA85" s="649" t="s">
        <v>267</v>
      </c>
      <c r="AB85" s="554"/>
      <c r="AC85" s="554"/>
      <c r="AD85" s="554"/>
    </row>
    <row r="86" spans="1:31" ht="36" customHeight="1" x14ac:dyDescent="0.2">
      <c r="A86" s="906"/>
      <c r="B86" s="909"/>
      <c r="C86" s="913"/>
      <c r="D86" s="841"/>
      <c r="E86" s="841"/>
      <c r="F86" s="869"/>
      <c r="G86" s="546">
        <v>153</v>
      </c>
      <c r="H86" s="546"/>
      <c r="I86" s="781" t="s">
        <v>91</v>
      </c>
      <c r="J86" s="548">
        <v>80111621</v>
      </c>
      <c r="K86" s="548" t="s">
        <v>81</v>
      </c>
      <c r="L86" s="548" t="s">
        <v>416</v>
      </c>
      <c r="M86" s="548" t="s">
        <v>599</v>
      </c>
      <c r="N86" s="549" t="s">
        <v>51</v>
      </c>
      <c r="O86" s="549">
        <v>9</v>
      </c>
      <c r="P86" s="550" t="s">
        <v>572</v>
      </c>
      <c r="Q86" s="631" t="s">
        <v>61</v>
      </c>
      <c r="R86" s="208">
        <v>59755077</v>
      </c>
      <c r="S86" s="215"/>
      <c r="T86" s="210">
        <f t="shared" si="33"/>
        <v>59755077</v>
      </c>
      <c r="U86" s="271">
        <v>1</v>
      </c>
      <c r="V86" s="211">
        <v>59755077</v>
      </c>
      <c r="W86" s="222"/>
      <c r="X86" s="210">
        <f t="shared" si="34"/>
        <v>59755077</v>
      </c>
      <c r="Y86" s="644">
        <v>42794</v>
      </c>
      <c r="Z86" s="645">
        <v>11</v>
      </c>
      <c r="AA86" s="649" t="s">
        <v>268</v>
      </c>
      <c r="AB86" s="554"/>
      <c r="AC86" s="554"/>
      <c r="AD86" s="554"/>
    </row>
    <row r="87" spans="1:31" ht="42" customHeight="1" x14ac:dyDescent="0.2">
      <c r="A87" s="906"/>
      <c r="B87" s="909"/>
      <c r="C87" s="913"/>
      <c r="D87" s="841"/>
      <c r="E87" s="841"/>
      <c r="F87" s="869"/>
      <c r="G87" s="546">
        <v>154</v>
      </c>
      <c r="H87" s="546"/>
      <c r="I87" s="226" t="s">
        <v>203</v>
      </c>
      <c r="J87" s="548">
        <v>80111621</v>
      </c>
      <c r="K87" s="548" t="s">
        <v>81</v>
      </c>
      <c r="L87" s="548" t="s">
        <v>416</v>
      </c>
      <c r="M87" s="548" t="s">
        <v>599</v>
      </c>
      <c r="N87" s="549" t="s">
        <v>56</v>
      </c>
      <c r="O87" s="549">
        <v>7</v>
      </c>
      <c r="P87" s="550" t="s">
        <v>572</v>
      </c>
      <c r="Q87" s="579" t="s">
        <v>61</v>
      </c>
      <c r="R87" s="208">
        <v>200000000</v>
      </c>
      <c r="S87" s="215"/>
      <c r="T87" s="210">
        <f t="shared" si="33"/>
        <v>200000000</v>
      </c>
      <c r="U87" s="271">
        <v>1</v>
      </c>
      <c r="V87" s="208">
        <v>200000000</v>
      </c>
      <c r="W87" s="222"/>
      <c r="X87" s="210">
        <f>+V87+W87</f>
        <v>200000000</v>
      </c>
      <c r="Y87" s="644">
        <v>42864</v>
      </c>
      <c r="Z87" s="645">
        <v>77</v>
      </c>
      <c r="AA87" s="649" t="s">
        <v>540</v>
      </c>
      <c r="AB87" s="554"/>
      <c r="AC87" s="554"/>
      <c r="AD87" s="554"/>
    </row>
    <row r="88" spans="1:31" ht="42" customHeight="1" x14ac:dyDescent="0.2">
      <c r="A88" s="906"/>
      <c r="B88" s="909"/>
      <c r="C88" s="913"/>
      <c r="D88" s="841"/>
      <c r="E88" s="841"/>
      <c r="F88" s="869"/>
      <c r="G88" s="546">
        <v>84</v>
      </c>
      <c r="H88" s="546"/>
      <c r="I88" s="226" t="s">
        <v>92</v>
      </c>
      <c r="J88" s="548">
        <v>80111601</v>
      </c>
      <c r="K88" s="643" t="s">
        <v>206</v>
      </c>
      <c r="L88" s="548" t="s">
        <v>442</v>
      </c>
      <c r="M88" s="643" t="s">
        <v>598</v>
      </c>
      <c r="N88" s="549" t="s">
        <v>63</v>
      </c>
      <c r="O88" s="549">
        <v>7</v>
      </c>
      <c r="P88" s="550" t="s">
        <v>572</v>
      </c>
      <c r="Q88" s="550" t="s">
        <v>61</v>
      </c>
      <c r="R88" s="208">
        <v>40574435</v>
      </c>
      <c r="S88" s="215"/>
      <c r="T88" s="210">
        <f t="shared" si="33"/>
        <v>40574435</v>
      </c>
      <c r="U88" s="271">
        <v>1</v>
      </c>
      <c r="V88" s="208">
        <v>40574435</v>
      </c>
      <c r="W88" s="222"/>
      <c r="X88" s="210">
        <f>+V88</f>
        <v>40574435</v>
      </c>
      <c r="Y88" s="644">
        <v>42766</v>
      </c>
      <c r="Z88" s="645">
        <v>3</v>
      </c>
      <c r="AA88" s="649" t="s">
        <v>230</v>
      </c>
      <c r="AB88" s="554"/>
      <c r="AC88" s="554"/>
      <c r="AD88" s="554"/>
    </row>
    <row r="89" spans="1:31" ht="58.5" customHeight="1" x14ac:dyDescent="0.2">
      <c r="A89" s="906"/>
      <c r="B89" s="909"/>
      <c r="C89" s="913"/>
      <c r="D89" s="841"/>
      <c r="E89" s="841"/>
      <c r="F89" s="869"/>
      <c r="G89" s="546">
        <v>198</v>
      </c>
      <c r="H89" s="546"/>
      <c r="I89" s="201" t="s">
        <v>343</v>
      </c>
      <c r="J89" s="548">
        <v>80111621</v>
      </c>
      <c r="K89" s="548" t="s">
        <v>93</v>
      </c>
      <c r="L89" s="548" t="s">
        <v>420</v>
      </c>
      <c r="M89" s="650" t="s">
        <v>600</v>
      </c>
      <c r="N89" s="651" t="s">
        <v>63</v>
      </c>
      <c r="O89" s="549">
        <v>8</v>
      </c>
      <c r="P89" s="550" t="s">
        <v>572</v>
      </c>
      <c r="Q89" s="550" t="s">
        <v>61</v>
      </c>
      <c r="R89" s="227">
        <v>73033983</v>
      </c>
      <c r="S89" s="215"/>
      <c r="T89" s="210">
        <f t="shared" ref="T89:T100" si="35">+R89+S89</f>
        <v>73033983</v>
      </c>
      <c r="U89" s="271">
        <v>1</v>
      </c>
      <c r="V89" s="652">
        <v>73033983</v>
      </c>
      <c r="W89" s="222"/>
      <c r="X89" s="210">
        <f>+V89+W89</f>
        <v>73033983</v>
      </c>
      <c r="Y89" s="644">
        <v>42844</v>
      </c>
      <c r="Z89" s="645">
        <v>53</v>
      </c>
      <c r="AA89" s="649" t="s">
        <v>399</v>
      </c>
      <c r="AB89" s="554"/>
      <c r="AC89" s="554"/>
      <c r="AD89" s="554"/>
    </row>
    <row r="90" spans="1:31" ht="64.5" customHeight="1" x14ac:dyDescent="0.2">
      <c r="A90" s="906"/>
      <c r="B90" s="909"/>
      <c r="C90" s="913"/>
      <c r="D90" s="841"/>
      <c r="E90" s="841"/>
      <c r="F90" s="869"/>
      <c r="G90" s="546">
        <v>199</v>
      </c>
      <c r="H90" s="546"/>
      <c r="I90" s="201" t="s">
        <v>408</v>
      </c>
      <c r="J90" s="548">
        <v>80111621</v>
      </c>
      <c r="K90" s="548" t="s">
        <v>121</v>
      </c>
      <c r="L90" s="548" t="s">
        <v>415</v>
      </c>
      <c r="M90" s="606" t="s">
        <v>591</v>
      </c>
      <c r="N90" s="651" t="s">
        <v>63</v>
      </c>
      <c r="O90" s="549">
        <v>8</v>
      </c>
      <c r="P90" s="550" t="s">
        <v>572</v>
      </c>
      <c r="Q90" s="550" t="s">
        <v>61</v>
      </c>
      <c r="R90" s="227">
        <f>57684318-3364924</f>
        <v>54319394</v>
      </c>
      <c r="S90" s="215"/>
      <c r="T90" s="210">
        <f t="shared" si="35"/>
        <v>54319394</v>
      </c>
      <c r="U90" s="271">
        <v>1</v>
      </c>
      <c r="V90" s="652">
        <v>54319394</v>
      </c>
      <c r="W90" s="222"/>
      <c r="X90" s="210">
        <f>+V90+W90</f>
        <v>54319394</v>
      </c>
      <c r="Y90" s="644">
        <v>42851</v>
      </c>
      <c r="Z90" s="222">
        <v>64</v>
      </c>
      <c r="AA90" s="649" t="s">
        <v>426</v>
      </c>
      <c r="AB90" s="554"/>
      <c r="AC90" s="554"/>
      <c r="AD90" s="554"/>
    </row>
    <row r="91" spans="1:31" ht="65.25" customHeight="1" x14ac:dyDescent="0.2">
      <c r="A91" s="906"/>
      <c r="B91" s="909"/>
      <c r="C91" s="913"/>
      <c r="D91" s="841"/>
      <c r="E91" s="841"/>
      <c r="F91" s="869"/>
      <c r="G91" s="546">
        <v>200</v>
      </c>
      <c r="H91" s="546"/>
      <c r="I91" s="201" t="s">
        <v>360</v>
      </c>
      <c r="J91" s="548">
        <v>80111621</v>
      </c>
      <c r="K91" s="548" t="s">
        <v>121</v>
      </c>
      <c r="L91" s="548" t="s">
        <v>415</v>
      </c>
      <c r="M91" s="606" t="s">
        <v>597</v>
      </c>
      <c r="N91" s="201" t="s">
        <v>56</v>
      </c>
      <c r="O91" s="549">
        <v>7</v>
      </c>
      <c r="P91" s="550" t="s">
        <v>572</v>
      </c>
      <c r="Q91" s="550" t="s">
        <v>61</v>
      </c>
      <c r="R91" s="227">
        <v>35300040</v>
      </c>
      <c r="S91" s="215"/>
      <c r="T91" s="210">
        <f t="shared" si="35"/>
        <v>35300040</v>
      </c>
      <c r="U91" s="271">
        <v>1</v>
      </c>
      <c r="V91" s="652">
        <v>35300040</v>
      </c>
      <c r="W91" s="222"/>
      <c r="X91" s="210">
        <f>+V91+W91</f>
        <v>35300040</v>
      </c>
      <c r="Y91" s="644">
        <v>42865</v>
      </c>
      <c r="Z91" s="222">
        <v>78</v>
      </c>
      <c r="AA91" s="649" t="s">
        <v>463</v>
      </c>
      <c r="AB91" s="554"/>
      <c r="AC91" s="554"/>
      <c r="AD91" s="554"/>
    </row>
    <row r="92" spans="1:31" ht="66" customHeight="1" x14ac:dyDescent="0.25">
      <c r="A92" s="906"/>
      <c r="B92" s="909"/>
      <c r="C92" s="913"/>
      <c r="D92" s="841"/>
      <c r="E92" s="841"/>
      <c r="F92" s="869"/>
      <c r="G92" s="653">
        <v>232</v>
      </c>
      <c r="H92" s="546"/>
      <c r="I92" s="201" t="s">
        <v>344</v>
      </c>
      <c r="J92" s="548">
        <v>80111621</v>
      </c>
      <c r="K92" s="548" t="s">
        <v>93</v>
      </c>
      <c r="L92" s="548" t="s">
        <v>420</v>
      </c>
      <c r="M92" s="606" t="s">
        <v>601</v>
      </c>
      <c r="N92" s="201" t="s">
        <v>63</v>
      </c>
      <c r="O92" s="549">
        <v>7</v>
      </c>
      <c r="P92" s="550" t="s">
        <v>572</v>
      </c>
      <c r="Q92" s="550" t="s">
        <v>61</v>
      </c>
      <c r="R92" s="227">
        <v>3981659</v>
      </c>
      <c r="S92" s="227">
        <v>42494512</v>
      </c>
      <c r="T92" s="210">
        <f t="shared" si="35"/>
        <v>46476171</v>
      </c>
      <c r="U92" s="271">
        <v>1</v>
      </c>
      <c r="V92" s="652">
        <f>+R92</f>
        <v>3981659</v>
      </c>
      <c r="W92" s="222">
        <f>+S92</f>
        <v>42494512</v>
      </c>
      <c r="X92" s="210">
        <f>+V92+W92</f>
        <v>46476171</v>
      </c>
      <c r="Y92" s="644">
        <v>42849</v>
      </c>
      <c r="Z92" s="222">
        <v>57</v>
      </c>
      <c r="AA92" s="649" t="s">
        <v>723</v>
      </c>
      <c r="AB92" s="614">
        <v>23904043</v>
      </c>
      <c r="AC92" s="654"/>
      <c r="AD92" s="655">
        <f>+AB92+AC92</f>
        <v>23904043</v>
      </c>
    </row>
    <row r="93" spans="1:31" ht="57" customHeight="1" x14ac:dyDescent="0.25">
      <c r="A93" s="906"/>
      <c r="B93" s="909"/>
      <c r="C93" s="913"/>
      <c r="D93" s="841"/>
      <c r="E93" s="841"/>
      <c r="F93" s="869"/>
      <c r="G93" s="653">
        <v>233</v>
      </c>
      <c r="H93" s="546"/>
      <c r="I93" s="201" t="s">
        <v>345</v>
      </c>
      <c r="J93" s="547">
        <v>80111621</v>
      </c>
      <c r="K93" s="548" t="s">
        <v>93</v>
      </c>
      <c r="L93" s="548" t="s">
        <v>420</v>
      </c>
      <c r="M93" s="606" t="s">
        <v>601</v>
      </c>
      <c r="N93" s="201" t="s">
        <v>63</v>
      </c>
      <c r="O93" s="549">
        <v>7</v>
      </c>
      <c r="P93" s="550" t="s">
        <v>572</v>
      </c>
      <c r="Q93" s="550" t="s">
        <v>61</v>
      </c>
      <c r="R93" s="227"/>
      <c r="S93" s="227">
        <v>46476171</v>
      </c>
      <c r="T93" s="210">
        <f t="shared" si="35"/>
        <v>46476171</v>
      </c>
      <c r="U93" s="656">
        <v>1</v>
      </c>
      <c r="V93" s="652"/>
      <c r="W93" s="215">
        <v>46476171</v>
      </c>
      <c r="X93" s="210">
        <f>+W93</f>
        <v>46476171</v>
      </c>
      <c r="Y93" s="644">
        <v>42850</v>
      </c>
      <c r="Z93" s="215">
        <v>59</v>
      </c>
      <c r="AA93" s="649" t="s">
        <v>424</v>
      </c>
      <c r="AB93" s="614">
        <v>27885702</v>
      </c>
      <c r="AC93" s="654"/>
      <c r="AD93" s="655">
        <f t="shared" ref="AD93:AD100" si="36">+AB93+AC93</f>
        <v>27885702</v>
      </c>
    </row>
    <row r="94" spans="1:31" ht="68.25" customHeight="1" x14ac:dyDescent="0.25">
      <c r="A94" s="906"/>
      <c r="B94" s="909"/>
      <c r="C94" s="913"/>
      <c r="D94" s="841"/>
      <c r="E94" s="841"/>
      <c r="F94" s="869"/>
      <c r="G94" s="653">
        <v>234</v>
      </c>
      <c r="H94" s="546"/>
      <c r="I94" s="201" t="s">
        <v>346</v>
      </c>
      <c r="J94" s="547">
        <v>80111621</v>
      </c>
      <c r="K94" s="548" t="s">
        <v>93</v>
      </c>
      <c r="L94" s="548" t="s">
        <v>420</v>
      </c>
      <c r="M94" s="606" t="s">
        <v>601</v>
      </c>
      <c r="N94" s="201" t="s">
        <v>63</v>
      </c>
      <c r="O94" s="549">
        <v>7</v>
      </c>
      <c r="P94" s="550" t="s">
        <v>572</v>
      </c>
      <c r="Q94" s="550" t="s">
        <v>61</v>
      </c>
      <c r="R94" s="227"/>
      <c r="S94" s="227">
        <v>46476171</v>
      </c>
      <c r="T94" s="210">
        <f t="shared" si="35"/>
        <v>46476171</v>
      </c>
      <c r="U94" s="271">
        <v>1</v>
      </c>
      <c r="V94" s="652"/>
      <c r="W94" s="222">
        <v>46476171</v>
      </c>
      <c r="X94" s="210">
        <f>+W94</f>
        <v>46476171</v>
      </c>
      <c r="Y94" s="644">
        <v>42850</v>
      </c>
      <c r="Z94" s="222">
        <v>58</v>
      </c>
      <c r="AA94" s="649" t="s">
        <v>425</v>
      </c>
      <c r="AB94" s="614">
        <v>27885702</v>
      </c>
      <c r="AC94" s="654"/>
      <c r="AD94" s="655">
        <f t="shared" si="36"/>
        <v>27885702</v>
      </c>
    </row>
    <row r="95" spans="1:31" ht="54.75" customHeight="1" x14ac:dyDescent="0.25">
      <c r="A95" s="906"/>
      <c r="B95" s="909"/>
      <c r="C95" s="913"/>
      <c r="D95" s="841"/>
      <c r="E95" s="841"/>
      <c r="F95" s="869"/>
      <c r="G95" s="653">
        <v>235</v>
      </c>
      <c r="H95" s="546"/>
      <c r="I95" s="201" t="s">
        <v>347</v>
      </c>
      <c r="J95" s="547">
        <v>80111621</v>
      </c>
      <c r="K95" s="548" t="s">
        <v>93</v>
      </c>
      <c r="L95" s="548" t="s">
        <v>420</v>
      </c>
      <c r="M95" s="606" t="s">
        <v>601</v>
      </c>
      <c r="N95" s="201" t="s">
        <v>63</v>
      </c>
      <c r="O95" s="549">
        <v>8</v>
      </c>
      <c r="P95" s="550" t="s">
        <v>572</v>
      </c>
      <c r="Q95" s="550" t="s">
        <v>61</v>
      </c>
      <c r="R95" s="227"/>
      <c r="S95" s="227">
        <v>32505654</v>
      </c>
      <c r="T95" s="210">
        <f t="shared" si="35"/>
        <v>32505654</v>
      </c>
      <c r="U95" s="271">
        <v>1</v>
      </c>
      <c r="V95" s="652"/>
      <c r="W95" s="222">
        <v>32505654</v>
      </c>
      <c r="X95" s="210">
        <f>+W95</f>
        <v>32505654</v>
      </c>
      <c r="Y95" s="657">
        <v>42843</v>
      </c>
      <c r="Z95" s="222">
        <v>46</v>
      </c>
      <c r="AA95" s="649" t="s">
        <v>396</v>
      </c>
      <c r="AB95" s="614">
        <v>29047606</v>
      </c>
      <c r="AC95" s="654"/>
      <c r="AD95" s="655">
        <f t="shared" si="36"/>
        <v>29047606</v>
      </c>
    </row>
    <row r="96" spans="1:31" ht="59.25" customHeight="1" x14ac:dyDescent="0.25">
      <c r="A96" s="906"/>
      <c r="B96" s="909"/>
      <c r="C96" s="913"/>
      <c r="D96" s="841"/>
      <c r="E96" s="841"/>
      <c r="F96" s="869"/>
      <c r="G96" s="653">
        <v>258</v>
      </c>
      <c r="H96" s="546"/>
      <c r="I96" s="201" t="s">
        <v>412</v>
      </c>
      <c r="J96" s="547">
        <v>80111621</v>
      </c>
      <c r="K96" s="643" t="s">
        <v>206</v>
      </c>
      <c r="L96" s="548" t="s">
        <v>442</v>
      </c>
      <c r="M96" s="570" t="s">
        <v>602</v>
      </c>
      <c r="N96" s="201" t="s">
        <v>118</v>
      </c>
      <c r="O96" s="549">
        <v>5</v>
      </c>
      <c r="P96" s="550" t="s">
        <v>572</v>
      </c>
      <c r="Q96" s="550" t="s">
        <v>61</v>
      </c>
      <c r="R96" s="227">
        <f>8584356+24780568</f>
        <v>33364924</v>
      </c>
      <c r="S96" s="227">
        <v>125650016</v>
      </c>
      <c r="T96" s="210">
        <f t="shared" si="35"/>
        <v>159014940</v>
      </c>
      <c r="U96" s="271"/>
      <c r="V96" s="652">
        <v>33364924</v>
      </c>
      <c r="W96" s="222">
        <v>125650016</v>
      </c>
      <c r="X96" s="210">
        <f>+V96+W96</f>
        <v>159014940</v>
      </c>
      <c r="Y96" s="657">
        <v>42906</v>
      </c>
      <c r="Z96" s="222">
        <v>94</v>
      </c>
      <c r="AA96" s="556" t="s">
        <v>482</v>
      </c>
      <c r="AB96" s="820">
        <v>125650016</v>
      </c>
      <c r="AC96" s="658"/>
      <c r="AD96" s="658">
        <f t="shared" si="36"/>
        <v>125650016</v>
      </c>
    </row>
    <row r="97" spans="1:32" ht="101.25" customHeight="1" x14ac:dyDescent="0.2">
      <c r="A97" s="906"/>
      <c r="B97" s="909"/>
      <c r="C97" s="913"/>
      <c r="D97" s="841"/>
      <c r="E97" s="841"/>
      <c r="F97" s="869"/>
      <c r="G97" s="653">
        <v>301</v>
      </c>
      <c r="H97" s="546"/>
      <c r="I97" s="201" t="s">
        <v>695</v>
      </c>
      <c r="J97" s="547">
        <v>80111621</v>
      </c>
      <c r="K97" s="643" t="s">
        <v>206</v>
      </c>
      <c r="L97" s="548"/>
      <c r="M97" s="650" t="s">
        <v>602</v>
      </c>
      <c r="N97" s="201" t="s">
        <v>696</v>
      </c>
      <c r="O97" s="549">
        <v>2</v>
      </c>
      <c r="P97" s="550" t="s">
        <v>572</v>
      </c>
      <c r="Q97" s="550"/>
      <c r="R97" s="227"/>
      <c r="S97" s="227">
        <f>130047492-125650016-4397476</f>
        <v>0</v>
      </c>
      <c r="T97" s="210">
        <f>+R97+S97</f>
        <v>0</v>
      </c>
      <c r="U97" s="271"/>
      <c r="V97" s="652"/>
      <c r="W97" s="222"/>
      <c r="X97" s="210"/>
      <c r="Y97" s="657"/>
      <c r="Z97" s="222"/>
      <c r="AA97" s="556"/>
      <c r="AB97" s="583"/>
      <c r="AC97" s="554"/>
      <c r="AD97" s="655"/>
    </row>
    <row r="98" spans="1:32" ht="76.5" customHeight="1" x14ac:dyDescent="0.2">
      <c r="A98" s="906"/>
      <c r="B98" s="909"/>
      <c r="C98" s="913"/>
      <c r="D98" s="841"/>
      <c r="E98" s="841"/>
      <c r="F98" s="869"/>
      <c r="G98" s="653">
        <v>307</v>
      </c>
      <c r="H98" s="546"/>
      <c r="I98" s="698" t="s">
        <v>705</v>
      </c>
      <c r="J98" s="547">
        <v>80111621</v>
      </c>
      <c r="K98" s="643" t="s">
        <v>206</v>
      </c>
      <c r="L98" s="548"/>
      <c r="M98" s="650" t="s">
        <v>602</v>
      </c>
      <c r="N98" s="201" t="s">
        <v>77</v>
      </c>
      <c r="O98" s="549">
        <v>2</v>
      </c>
      <c r="P98" s="550" t="s">
        <v>572</v>
      </c>
      <c r="Q98" s="550"/>
      <c r="R98" s="227"/>
      <c r="S98" s="227">
        <v>4397476</v>
      </c>
      <c r="T98" s="210">
        <f>+S98</f>
        <v>4397476</v>
      </c>
      <c r="U98" s="271"/>
      <c r="V98" s="652"/>
      <c r="W98" s="222">
        <v>4397476</v>
      </c>
      <c r="X98" s="210">
        <f>+V98+W98</f>
        <v>4397476</v>
      </c>
      <c r="Y98" s="657">
        <v>43019</v>
      </c>
      <c r="Z98" s="222">
        <v>82</v>
      </c>
      <c r="AA98" s="556" t="s">
        <v>482</v>
      </c>
      <c r="AB98" s="583"/>
      <c r="AC98" s="554"/>
      <c r="AD98" s="655">
        <f t="shared" si="36"/>
        <v>0</v>
      </c>
    </row>
    <row r="99" spans="1:32" ht="95.25" customHeight="1" x14ac:dyDescent="0.25">
      <c r="A99" s="906"/>
      <c r="B99" s="909"/>
      <c r="C99" s="913"/>
      <c r="D99" s="841"/>
      <c r="E99" s="841"/>
      <c r="F99" s="869"/>
      <c r="G99" s="659">
        <v>279</v>
      </c>
      <c r="H99" s="546"/>
      <c r="I99" s="201" t="s">
        <v>497</v>
      </c>
      <c r="J99" s="547">
        <v>80111621</v>
      </c>
      <c r="K99" s="548" t="s">
        <v>83</v>
      </c>
      <c r="L99" s="548" t="s">
        <v>421</v>
      </c>
      <c r="M99" s="606" t="s">
        <v>603</v>
      </c>
      <c r="N99" s="201" t="s">
        <v>118</v>
      </c>
      <c r="O99" s="549">
        <v>6</v>
      </c>
      <c r="P99" s="550" t="s">
        <v>572</v>
      </c>
      <c r="Q99" s="550" t="s">
        <v>61</v>
      </c>
      <c r="R99" s="227"/>
      <c r="S99" s="227">
        <f>202940239-940239</f>
        <v>202000000</v>
      </c>
      <c r="T99" s="210">
        <f t="shared" si="35"/>
        <v>202000000</v>
      </c>
      <c r="U99" s="271"/>
      <c r="V99" s="652"/>
      <c r="W99" s="222">
        <v>202000000</v>
      </c>
      <c r="X99" s="210">
        <f>+W99</f>
        <v>202000000</v>
      </c>
      <c r="Y99" s="657">
        <v>42907</v>
      </c>
      <c r="Z99" s="222">
        <v>95</v>
      </c>
      <c r="AA99" s="649" t="s">
        <v>527</v>
      </c>
      <c r="AB99" s="614">
        <v>121200000</v>
      </c>
      <c r="AC99" s="615"/>
      <c r="AD99" s="615">
        <f>+AB99+AC99</f>
        <v>121200000</v>
      </c>
    </row>
    <row r="100" spans="1:32" ht="48" customHeight="1" x14ac:dyDescent="0.25">
      <c r="A100" s="906"/>
      <c r="B100" s="909"/>
      <c r="C100" s="913"/>
      <c r="D100" s="841"/>
      <c r="E100" s="841"/>
      <c r="F100" s="860"/>
      <c r="G100" s="659">
        <v>280</v>
      </c>
      <c r="H100" s="546"/>
      <c r="I100" s="201" t="s">
        <v>493</v>
      </c>
      <c r="J100" s="547">
        <v>80111621</v>
      </c>
      <c r="K100" s="548" t="s">
        <v>83</v>
      </c>
      <c r="L100" s="548" t="s">
        <v>421</v>
      </c>
      <c r="M100" s="606" t="s">
        <v>603</v>
      </c>
      <c r="N100" s="201" t="s">
        <v>118</v>
      </c>
      <c r="O100" s="549">
        <v>6</v>
      </c>
      <c r="P100" s="550" t="s">
        <v>572</v>
      </c>
      <c r="Q100" s="550" t="s">
        <v>61</v>
      </c>
      <c r="R100" s="227"/>
      <c r="S100" s="227">
        <v>100000000</v>
      </c>
      <c r="T100" s="210">
        <f t="shared" si="35"/>
        <v>100000000</v>
      </c>
      <c r="U100" s="271"/>
      <c r="V100" s="652"/>
      <c r="W100" s="222">
        <v>100000000</v>
      </c>
      <c r="X100" s="210">
        <f>+W100</f>
        <v>100000000</v>
      </c>
      <c r="Y100" s="657">
        <v>42908</v>
      </c>
      <c r="Z100" s="222">
        <v>96</v>
      </c>
      <c r="AA100" s="649" t="s">
        <v>528</v>
      </c>
      <c r="AB100" s="614">
        <v>60000000</v>
      </c>
      <c r="AC100" s="615"/>
      <c r="AD100" s="615">
        <f t="shared" si="36"/>
        <v>60000000</v>
      </c>
    </row>
    <row r="101" spans="1:32" ht="17.25" customHeight="1" x14ac:dyDescent="0.25">
      <c r="A101" s="906"/>
      <c r="B101" s="909"/>
      <c r="C101" s="913"/>
      <c r="D101" s="841"/>
      <c r="E101" s="841"/>
      <c r="F101" s="851" t="s">
        <v>170</v>
      </c>
      <c r="G101" s="852"/>
      <c r="H101" s="852"/>
      <c r="I101" s="852"/>
      <c r="J101" s="852"/>
      <c r="K101" s="852"/>
      <c r="L101" s="852"/>
      <c r="M101" s="852"/>
      <c r="N101" s="852"/>
      <c r="O101" s="852"/>
      <c r="P101" s="853"/>
      <c r="Q101" s="806"/>
      <c r="R101" s="223">
        <f>SUM(R84:R100)</f>
        <v>619839666</v>
      </c>
      <c r="S101" s="223">
        <f>SUM(S84:S100)</f>
        <v>600000000</v>
      </c>
      <c r="T101" s="223">
        <f>+R101+S101</f>
        <v>1219839666</v>
      </c>
      <c r="U101" s="647"/>
      <c r="V101" s="223">
        <f>SUM(V84:V100)</f>
        <v>619839666</v>
      </c>
      <c r="W101" s="223">
        <f>SUM(W84:W100)</f>
        <v>600000000</v>
      </c>
      <c r="X101" s="223">
        <f>SUM(X84:X100)</f>
        <v>1219839666</v>
      </c>
      <c r="Y101" s="223"/>
      <c r="Z101" s="223"/>
      <c r="AA101" s="660"/>
      <c r="AB101" s="618">
        <f>SUM(AB84:AB100)</f>
        <v>415573069</v>
      </c>
      <c r="AC101" s="618">
        <v>466342906</v>
      </c>
      <c r="AD101" s="618">
        <f>+AB101+AC101</f>
        <v>881915975</v>
      </c>
    </row>
    <row r="102" spans="1:32" ht="27.75" customHeight="1" x14ac:dyDescent="0.25">
      <c r="A102" s="906"/>
      <c r="B102" s="909"/>
      <c r="C102" s="913"/>
      <c r="D102" s="843"/>
      <c r="E102" s="843"/>
      <c r="F102" s="836" t="s">
        <v>17</v>
      </c>
      <c r="G102" s="836"/>
      <c r="H102" s="836"/>
      <c r="I102" s="836"/>
      <c r="J102" s="836"/>
      <c r="K102" s="836"/>
      <c r="L102" s="836"/>
      <c r="M102" s="836"/>
      <c r="N102" s="836"/>
      <c r="O102" s="836"/>
      <c r="P102" s="836"/>
      <c r="Q102" s="799"/>
      <c r="R102" s="216">
        <f>+R101</f>
        <v>619839666</v>
      </c>
      <c r="S102" s="216">
        <f t="shared" ref="S102:T102" si="37">+S101</f>
        <v>600000000</v>
      </c>
      <c r="T102" s="216">
        <f t="shared" si="37"/>
        <v>1219839666</v>
      </c>
      <c r="U102" s="638"/>
      <c r="V102" s="216">
        <f>+V101</f>
        <v>619839666</v>
      </c>
      <c r="W102" s="216">
        <f>+W101</f>
        <v>600000000</v>
      </c>
      <c r="X102" s="216">
        <f>+X101</f>
        <v>1219839666</v>
      </c>
      <c r="Y102" s="216"/>
      <c r="Z102" s="216"/>
      <c r="AA102" s="661"/>
      <c r="AB102" s="662">
        <f>+AB101</f>
        <v>415573069</v>
      </c>
      <c r="AC102" s="662">
        <f>+AC101</f>
        <v>466342906</v>
      </c>
      <c r="AD102" s="662">
        <f>+AD101</f>
        <v>881915975</v>
      </c>
      <c r="AE102" s="646">
        <f>+AB102+AB116</f>
        <v>860844644</v>
      </c>
    </row>
    <row r="103" spans="1:32" ht="57" customHeight="1" x14ac:dyDescent="0.2">
      <c r="A103" s="906" t="str">
        <f>+A81</f>
        <v>113 Bogotá reconoce a sus maestras, maestros y directivos docentes.</v>
      </c>
      <c r="B103" s="844" t="str">
        <f>+B81</f>
        <v>Codigo 386 
Tres centros de Innovación que dinamizan las Estrategias y procesos en la Red de Innovación del Maestro</v>
      </c>
      <c r="C103" s="841" t="str">
        <f>+C81</f>
        <v>Componente N° 2: Estategia de Cualificación investigación e innovación docente: Comunidades de saber y de práctica pedagógica</v>
      </c>
      <c r="D103" s="846" t="s">
        <v>366</v>
      </c>
      <c r="E103" s="846" t="s">
        <v>733</v>
      </c>
      <c r="F103" s="918" t="s">
        <v>204</v>
      </c>
      <c r="G103" s="663">
        <v>224</v>
      </c>
      <c r="H103" s="663"/>
      <c r="I103" s="228" t="s">
        <v>361</v>
      </c>
      <c r="J103" s="547">
        <v>80111621</v>
      </c>
      <c r="K103" s="816" t="s">
        <v>205</v>
      </c>
      <c r="L103" s="548" t="s">
        <v>416</v>
      </c>
      <c r="M103" s="606" t="s">
        <v>599</v>
      </c>
      <c r="N103" s="201" t="s">
        <v>63</v>
      </c>
      <c r="O103" s="643">
        <v>8</v>
      </c>
      <c r="P103" s="550" t="s">
        <v>572</v>
      </c>
      <c r="Q103" s="579" t="s">
        <v>61</v>
      </c>
      <c r="R103" s="227">
        <v>73040000</v>
      </c>
      <c r="S103" s="229"/>
      <c r="T103" s="230">
        <f>+R103+S103</f>
        <v>73040000</v>
      </c>
      <c r="U103" s="664">
        <v>1</v>
      </c>
      <c r="V103" s="665">
        <v>73040000</v>
      </c>
      <c r="W103" s="236"/>
      <c r="X103" s="230">
        <f>+V103+W103</f>
        <v>73040000</v>
      </c>
      <c r="Y103" s="666">
        <v>42844</v>
      </c>
      <c r="Z103" s="664">
        <v>49</v>
      </c>
      <c r="AA103" s="616" t="s">
        <v>400</v>
      </c>
      <c r="AB103" s="554"/>
      <c r="AC103" s="554"/>
      <c r="AD103" s="554"/>
    </row>
    <row r="104" spans="1:32" ht="57" customHeight="1" x14ac:dyDescent="0.25">
      <c r="A104" s="906"/>
      <c r="B104" s="844"/>
      <c r="C104" s="841"/>
      <c r="D104" s="846"/>
      <c r="E104" s="846"/>
      <c r="F104" s="919"/>
      <c r="G104" s="663">
        <v>225</v>
      </c>
      <c r="H104" s="663"/>
      <c r="I104" s="228" t="s">
        <v>352</v>
      </c>
      <c r="J104" s="547">
        <v>80111621</v>
      </c>
      <c r="K104" s="816" t="s">
        <v>205</v>
      </c>
      <c r="L104" s="548" t="s">
        <v>416</v>
      </c>
      <c r="M104" s="606" t="s">
        <v>599</v>
      </c>
      <c r="N104" s="201" t="s">
        <v>63</v>
      </c>
      <c r="O104" s="643">
        <v>8</v>
      </c>
      <c r="P104" s="550" t="s">
        <v>572</v>
      </c>
      <c r="Q104" s="579" t="s">
        <v>61</v>
      </c>
      <c r="R104" s="227">
        <v>26960000</v>
      </c>
      <c r="S104" s="231">
        <v>46080000</v>
      </c>
      <c r="T104" s="230">
        <f t="shared" ref="T104:T108" si="38">+R104+S104</f>
        <v>73040000</v>
      </c>
      <c r="U104" s="664">
        <v>1</v>
      </c>
      <c r="V104" s="665">
        <v>26960000</v>
      </c>
      <c r="W104" s="230">
        <v>46080000</v>
      </c>
      <c r="X104" s="230">
        <f>+V104+W104</f>
        <v>73040000</v>
      </c>
      <c r="Y104" s="666">
        <v>42854</v>
      </c>
      <c r="Z104" s="664">
        <v>69</v>
      </c>
      <c r="AA104" s="616" t="s">
        <v>708</v>
      </c>
      <c r="AB104" s="614">
        <v>16864000</v>
      </c>
      <c r="AC104" s="615"/>
      <c r="AD104" s="615">
        <f>+AB104+AC104</f>
        <v>16864000</v>
      </c>
    </row>
    <row r="105" spans="1:32" ht="57" customHeight="1" x14ac:dyDescent="0.25">
      <c r="A105" s="906"/>
      <c r="B105" s="844"/>
      <c r="C105" s="841"/>
      <c r="D105" s="846"/>
      <c r="E105" s="846"/>
      <c r="F105" s="919"/>
      <c r="G105" s="663">
        <v>226</v>
      </c>
      <c r="H105" s="663"/>
      <c r="I105" s="228" t="s">
        <v>353</v>
      </c>
      <c r="J105" s="547">
        <v>80111621</v>
      </c>
      <c r="K105" s="816" t="s">
        <v>205</v>
      </c>
      <c r="L105" s="548" t="s">
        <v>416</v>
      </c>
      <c r="M105" s="606" t="s">
        <v>599</v>
      </c>
      <c r="N105" s="201" t="s">
        <v>63</v>
      </c>
      <c r="O105" s="643">
        <v>8</v>
      </c>
      <c r="P105" s="550" t="s">
        <v>572</v>
      </c>
      <c r="Q105" s="579" t="s">
        <v>61</v>
      </c>
      <c r="R105" s="229"/>
      <c r="S105" s="231">
        <v>73040000</v>
      </c>
      <c r="T105" s="230">
        <f t="shared" si="38"/>
        <v>73040000</v>
      </c>
      <c r="U105" s="664">
        <v>1</v>
      </c>
      <c r="V105" s="665"/>
      <c r="W105" s="230">
        <v>73040000</v>
      </c>
      <c r="X105" s="230">
        <f>+W105+V105</f>
        <v>73040000</v>
      </c>
      <c r="Y105" s="666">
        <v>42844</v>
      </c>
      <c r="Z105" s="664">
        <v>51</v>
      </c>
      <c r="AA105" s="616" t="s">
        <v>398</v>
      </c>
      <c r="AB105" s="614">
        <v>43824000</v>
      </c>
      <c r="AC105" s="654"/>
      <c r="AD105" s="655">
        <f t="shared" ref="AD105:AD108" si="39">+AB105+AC105</f>
        <v>43824000</v>
      </c>
    </row>
    <row r="106" spans="1:32" ht="57" customHeight="1" x14ac:dyDescent="0.25">
      <c r="A106" s="906"/>
      <c r="B106" s="844"/>
      <c r="C106" s="841"/>
      <c r="D106" s="846"/>
      <c r="E106" s="846"/>
      <c r="F106" s="919"/>
      <c r="G106" s="663">
        <v>257</v>
      </c>
      <c r="H106" s="663"/>
      <c r="I106" s="228" t="s">
        <v>413</v>
      </c>
      <c r="J106" s="547">
        <v>80111621</v>
      </c>
      <c r="K106" s="816" t="s">
        <v>205</v>
      </c>
      <c r="L106" s="548" t="s">
        <v>416</v>
      </c>
      <c r="M106" s="606" t="s">
        <v>599</v>
      </c>
      <c r="N106" s="201" t="s">
        <v>63</v>
      </c>
      <c r="O106" s="643">
        <v>8</v>
      </c>
      <c r="P106" s="550" t="s">
        <v>572</v>
      </c>
      <c r="Q106" s="579" t="s">
        <v>61</v>
      </c>
      <c r="R106" s="229"/>
      <c r="S106" s="231">
        <f>53115624-23606944</f>
        <v>29508680</v>
      </c>
      <c r="T106" s="230">
        <f t="shared" si="38"/>
        <v>29508680</v>
      </c>
      <c r="U106" s="664">
        <v>1</v>
      </c>
      <c r="V106" s="665"/>
      <c r="W106" s="230">
        <v>29508680</v>
      </c>
      <c r="X106" s="230">
        <f>+V106+W106</f>
        <v>29508680</v>
      </c>
      <c r="Y106" s="666">
        <v>42857</v>
      </c>
      <c r="Z106" s="664">
        <v>70</v>
      </c>
      <c r="AA106" s="616" t="s">
        <v>456</v>
      </c>
      <c r="AB106" s="658">
        <v>17705208</v>
      </c>
      <c r="AC106" s="615"/>
      <c r="AD106" s="615">
        <f t="shared" si="39"/>
        <v>17705208</v>
      </c>
      <c r="AE106" s="667"/>
    </row>
    <row r="107" spans="1:32" ht="57" customHeight="1" x14ac:dyDescent="0.25">
      <c r="A107" s="906"/>
      <c r="B107" s="844"/>
      <c r="C107" s="841"/>
      <c r="D107" s="846"/>
      <c r="E107" s="846"/>
      <c r="F107" s="919"/>
      <c r="G107" s="663">
        <v>228</v>
      </c>
      <c r="H107" s="663"/>
      <c r="I107" s="228" t="s">
        <v>354</v>
      </c>
      <c r="J107" s="547">
        <v>80111621</v>
      </c>
      <c r="K107" s="643" t="s">
        <v>206</v>
      </c>
      <c r="L107" s="548" t="s">
        <v>442</v>
      </c>
      <c r="M107" s="643" t="s">
        <v>598</v>
      </c>
      <c r="N107" s="201" t="s">
        <v>56</v>
      </c>
      <c r="O107" s="643">
        <v>7</v>
      </c>
      <c r="P107" s="550" t="s">
        <v>572</v>
      </c>
      <c r="Q107" s="579" t="s">
        <v>61</v>
      </c>
      <c r="R107" s="229"/>
      <c r="S107" s="231">
        <f>348255696+24221709</f>
        <v>372477405</v>
      </c>
      <c r="T107" s="230">
        <f t="shared" si="38"/>
        <v>372477405</v>
      </c>
      <c r="U107" s="664">
        <v>1</v>
      </c>
      <c r="V107" s="665"/>
      <c r="W107" s="230">
        <v>372477405</v>
      </c>
      <c r="X107" s="230">
        <f>+V107+W107</f>
        <v>372477405</v>
      </c>
      <c r="Y107" s="666">
        <v>42860</v>
      </c>
      <c r="Z107" s="664">
        <v>73</v>
      </c>
      <c r="AA107" s="616" t="s">
        <v>455</v>
      </c>
      <c r="AB107" s="658">
        <v>260734184</v>
      </c>
      <c r="AC107" s="654"/>
      <c r="AD107" s="655">
        <f t="shared" si="39"/>
        <v>260734184</v>
      </c>
    </row>
    <row r="108" spans="1:32" ht="57" customHeight="1" x14ac:dyDescent="0.25">
      <c r="A108" s="906"/>
      <c r="B108" s="844"/>
      <c r="C108" s="841"/>
      <c r="D108" s="846"/>
      <c r="E108" s="846"/>
      <c r="F108" s="920"/>
      <c r="G108" s="668">
        <v>229</v>
      </c>
      <c r="H108" s="668"/>
      <c r="I108" s="669" t="s">
        <v>355</v>
      </c>
      <c r="J108" s="814">
        <v>80111621</v>
      </c>
      <c r="K108" s="605" t="s">
        <v>205</v>
      </c>
      <c r="L108" s="606" t="s">
        <v>416</v>
      </c>
      <c r="M108" s="650" t="s">
        <v>592</v>
      </c>
      <c r="N108" s="201" t="s">
        <v>63</v>
      </c>
      <c r="O108" s="670">
        <v>8</v>
      </c>
      <c r="P108" s="550" t="s">
        <v>572</v>
      </c>
      <c r="Q108" s="579" t="s">
        <v>61</v>
      </c>
      <c r="R108" s="229"/>
      <c r="S108" s="231">
        <v>28893915</v>
      </c>
      <c r="T108" s="230">
        <f t="shared" si="38"/>
        <v>28893915</v>
      </c>
      <c r="U108" s="664">
        <v>1</v>
      </c>
      <c r="V108" s="665"/>
      <c r="W108" s="230">
        <v>28893915</v>
      </c>
      <c r="X108" s="230">
        <f>+W108</f>
        <v>28893915</v>
      </c>
      <c r="Y108" s="666">
        <v>42844</v>
      </c>
      <c r="Z108" s="664">
        <v>48</v>
      </c>
      <c r="AA108" s="616" t="s">
        <v>397</v>
      </c>
      <c r="AB108" s="614">
        <v>25820095</v>
      </c>
      <c r="AC108" s="654"/>
      <c r="AD108" s="655">
        <f t="shared" si="39"/>
        <v>25820095</v>
      </c>
      <c r="AF108" s="620"/>
    </row>
    <row r="109" spans="1:32" ht="29.25" customHeight="1" x14ac:dyDescent="0.25">
      <c r="A109" s="906"/>
      <c r="B109" s="844"/>
      <c r="C109" s="841"/>
      <c r="D109" s="846"/>
      <c r="E109" s="846"/>
      <c r="F109" s="868" t="s">
        <v>170</v>
      </c>
      <c r="G109" s="868"/>
      <c r="H109" s="868"/>
      <c r="I109" s="868"/>
      <c r="J109" s="868"/>
      <c r="K109" s="868"/>
      <c r="L109" s="868"/>
      <c r="M109" s="868"/>
      <c r="N109" s="868"/>
      <c r="O109" s="868"/>
      <c r="P109" s="868"/>
      <c r="Q109" s="806"/>
      <c r="R109" s="223">
        <f>SUM(R103:R108)</f>
        <v>100000000</v>
      </c>
      <c r="S109" s="223">
        <f>SUM(S103:S108)</f>
        <v>550000000</v>
      </c>
      <c r="T109" s="223">
        <f>SUM(T103:T108)</f>
        <v>650000000</v>
      </c>
      <c r="U109" s="647"/>
      <c r="V109" s="223">
        <f>SUM(V103:V108)</f>
        <v>100000000</v>
      </c>
      <c r="W109" s="223">
        <f>SUM(W103:W108)</f>
        <v>550000000</v>
      </c>
      <c r="X109" s="223">
        <f>SUM(X103:X108)</f>
        <v>650000000</v>
      </c>
      <c r="Y109" s="648"/>
      <c r="Z109" s="223"/>
      <c r="AA109" s="223"/>
      <c r="AB109" s="671">
        <f>SUM(AB103:AB108)</f>
        <v>364947487</v>
      </c>
      <c r="AC109" s="672">
        <v>70784000</v>
      </c>
      <c r="AD109" s="673">
        <f>+AB109+AC109</f>
        <v>435731487</v>
      </c>
      <c r="AE109" s="646"/>
    </row>
    <row r="110" spans="1:32" ht="90" customHeight="1" x14ac:dyDescent="0.2">
      <c r="A110" s="906"/>
      <c r="B110" s="844"/>
      <c r="C110" s="841"/>
      <c r="D110" s="846"/>
      <c r="E110" s="846"/>
      <c r="F110" s="234" t="s">
        <v>111</v>
      </c>
      <c r="G110" s="668">
        <v>265</v>
      </c>
      <c r="H110" s="605"/>
      <c r="I110" s="669" t="s">
        <v>447</v>
      </c>
      <c r="J110" s="815">
        <v>80111621</v>
      </c>
      <c r="K110" s="670" t="s">
        <v>206</v>
      </c>
      <c r="L110" s="606" t="s">
        <v>442</v>
      </c>
      <c r="M110" s="670" t="s">
        <v>598</v>
      </c>
      <c r="N110" s="674" t="s">
        <v>56</v>
      </c>
      <c r="O110" s="674">
        <v>7</v>
      </c>
      <c r="P110" s="550" t="s">
        <v>572</v>
      </c>
      <c r="Q110" s="578" t="s">
        <v>61</v>
      </c>
      <c r="R110" s="230">
        <f>100000000+67471012</f>
        <v>167471012</v>
      </c>
      <c r="S110" s="230"/>
      <c r="T110" s="210">
        <f t="shared" ref="T110" si="40">SUM(R110:S110)</f>
        <v>167471012</v>
      </c>
      <c r="U110" s="271"/>
      <c r="V110" s="230">
        <v>167471012</v>
      </c>
      <c r="X110" s="230">
        <f>+V110</f>
        <v>167471012</v>
      </c>
      <c r="Y110" s="666">
        <v>42870</v>
      </c>
      <c r="Z110" s="230">
        <v>81</v>
      </c>
      <c r="AA110" s="210" t="s">
        <v>470</v>
      </c>
      <c r="AB110" s="554"/>
      <c r="AC110" s="554"/>
      <c r="AD110" s="554"/>
    </row>
    <row r="111" spans="1:32" ht="21.75" customHeight="1" x14ac:dyDescent="0.25">
      <c r="A111" s="906"/>
      <c r="B111" s="844"/>
      <c r="C111" s="841"/>
      <c r="D111" s="846"/>
      <c r="E111" s="846"/>
      <c r="F111" s="868" t="s">
        <v>170</v>
      </c>
      <c r="G111" s="868"/>
      <c r="H111" s="868"/>
      <c r="I111" s="868"/>
      <c r="J111" s="868"/>
      <c r="K111" s="868"/>
      <c r="L111" s="868"/>
      <c r="M111" s="868"/>
      <c r="N111" s="868"/>
      <c r="O111" s="868"/>
      <c r="P111" s="868"/>
      <c r="Q111" s="806"/>
      <c r="R111" s="223">
        <f>+R110</f>
        <v>167471012</v>
      </c>
      <c r="S111" s="223">
        <f t="shared" ref="S111:T111" si="41">+S110</f>
        <v>0</v>
      </c>
      <c r="T111" s="223">
        <f t="shared" si="41"/>
        <v>167471012</v>
      </c>
      <c r="U111" s="647"/>
      <c r="V111" s="223">
        <f t="shared" ref="V111" si="42">+V110</f>
        <v>167471012</v>
      </c>
      <c r="W111" s="223">
        <f>+V110</f>
        <v>167471012</v>
      </c>
      <c r="X111" s="223">
        <f t="shared" ref="X111" si="43">+X110</f>
        <v>167471012</v>
      </c>
      <c r="Y111" s="648"/>
      <c r="Z111" s="223"/>
      <c r="AA111" s="223"/>
      <c r="AB111" s="675"/>
      <c r="AC111" s="673">
        <v>83735506</v>
      </c>
      <c r="AD111" s="673">
        <f>+AB111+AC111</f>
        <v>83735506</v>
      </c>
    </row>
    <row r="112" spans="1:32" ht="56.25" customHeight="1" x14ac:dyDescent="0.25">
      <c r="A112" s="906"/>
      <c r="B112" s="844"/>
      <c r="C112" s="841"/>
      <c r="D112" s="846"/>
      <c r="E112" s="846"/>
      <c r="F112" s="921" t="s">
        <v>465</v>
      </c>
      <c r="G112" s="663">
        <v>239</v>
      </c>
      <c r="H112" s="663"/>
      <c r="I112" s="201" t="s">
        <v>349</v>
      </c>
      <c r="J112" s="547">
        <v>80111621</v>
      </c>
      <c r="K112" s="643" t="s">
        <v>80</v>
      </c>
      <c r="L112" s="548" t="s">
        <v>414</v>
      </c>
      <c r="M112" s="650" t="s">
        <v>590</v>
      </c>
      <c r="N112" s="201" t="s">
        <v>56</v>
      </c>
      <c r="O112" s="816">
        <v>6</v>
      </c>
      <c r="P112" s="550" t="s">
        <v>572</v>
      </c>
      <c r="Q112" s="816" t="s">
        <v>61</v>
      </c>
      <c r="R112" s="230"/>
      <c r="S112" s="227">
        <v>39836718</v>
      </c>
      <c r="T112" s="230">
        <f>+R112+S112</f>
        <v>39836718</v>
      </c>
      <c r="U112" s="664">
        <v>1</v>
      </c>
      <c r="V112" s="230"/>
      <c r="W112" s="230">
        <v>39836718</v>
      </c>
      <c r="X112" s="230">
        <f>+V112+W112</f>
        <v>39836718</v>
      </c>
      <c r="Y112" s="676">
        <v>42846</v>
      </c>
      <c r="Z112" s="230">
        <v>55</v>
      </c>
      <c r="AA112" s="230" t="s">
        <v>404</v>
      </c>
      <c r="AB112" s="819">
        <v>39836718</v>
      </c>
      <c r="AC112" s="654"/>
      <c r="AD112" s="655">
        <f t="shared" ref="AD112:AD114" si="44">+AB112+AC112</f>
        <v>39836718</v>
      </c>
    </row>
    <row r="113" spans="1:32" ht="90" customHeight="1" x14ac:dyDescent="0.25">
      <c r="A113" s="906"/>
      <c r="B113" s="844"/>
      <c r="C113" s="841"/>
      <c r="D113" s="846"/>
      <c r="E113" s="846"/>
      <c r="F113" s="922"/>
      <c r="G113" s="663">
        <v>240</v>
      </c>
      <c r="H113" s="663"/>
      <c r="I113" s="201" t="s">
        <v>350</v>
      </c>
      <c r="J113" s="547">
        <v>80111621</v>
      </c>
      <c r="K113" s="643" t="s">
        <v>80</v>
      </c>
      <c r="L113" s="548" t="s">
        <v>414</v>
      </c>
      <c r="M113" s="650" t="s">
        <v>590</v>
      </c>
      <c r="N113" s="201" t="s">
        <v>56</v>
      </c>
      <c r="O113" s="816">
        <v>6</v>
      </c>
      <c r="P113" s="550" t="s">
        <v>572</v>
      </c>
      <c r="Q113" s="816" t="s">
        <v>61</v>
      </c>
      <c r="R113" s="230"/>
      <c r="S113" s="227">
        <v>39836718</v>
      </c>
      <c r="T113" s="230">
        <f>+R113+S113</f>
        <v>39836718</v>
      </c>
      <c r="U113" s="664">
        <v>1</v>
      </c>
      <c r="V113" s="230"/>
      <c r="W113" s="230">
        <v>39836718</v>
      </c>
      <c r="X113" s="230">
        <f>+V113+W113</f>
        <v>39836718</v>
      </c>
      <c r="Y113" s="676">
        <v>42846</v>
      </c>
      <c r="Z113" s="230">
        <v>54</v>
      </c>
      <c r="AA113" s="230" t="s">
        <v>405</v>
      </c>
      <c r="AB113" s="819">
        <v>39836718</v>
      </c>
      <c r="AC113" s="654"/>
      <c r="AD113" s="655">
        <f t="shared" si="44"/>
        <v>39836718</v>
      </c>
    </row>
    <row r="114" spans="1:32" ht="77.25" customHeight="1" x14ac:dyDescent="0.25">
      <c r="A114" s="906"/>
      <c r="B114" s="844"/>
      <c r="C114" s="841"/>
      <c r="D114" s="846"/>
      <c r="E114" s="846"/>
      <c r="F114" s="923"/>
      <c r="G114" s="663">
        <v>246</v>
      </c>
      <c r="H114" s="663"/>
      <c r="I114" s="201" t="s">
        <v>351</v>
      </c>
      <c r="J114" s="547">
        <v>80111621</v>
      </c>
      <c r="K114" s="643" t="s">
        <v>122</v>
      </c>
      <c r="L114" s="548" t="s">
        <v>418</v>
      </c>
      <c r="M114" s="650" t="s">
        <v>604</v>
      </c>
      <c r="N114" s="201" t="s">
        <v>56</v>
      </c>
      <c r="O114" s="816">
        <v>7</v>
      </c>
      <c r="P114" s="550" t="s">
        <v>572</v>
      </c>
      <c r="Q114" s="816" t="s">
        <v>61</v>
      </c>
      <c r="R114" s="230"/>
      <c r="S114" s="227">
        <v>20326564</v>
      </c>
      <c r="T114" s="230">
        <f>+R114+S114</f>
        <v>20326564</v>
      </c>
      <c r="U114" s="664"/>
      <c r="V114" s="230"/>
      <c r="W114" s="230">
        <f>+S114</f>
        <v>20326564</v>
      </c>
      <c r="X114" s="590">
        <f>+V114+W114</f>
        <v>20326564</v>
      </c>
      <c r="Y114" s="592">
        <v>82</v>
      </c>
      <c r="Z114" s="230">
        <v>42871</v>
      </c>
      <c r="AA114" s="616" t="s">
        <v>482</v>
      </c>
      <c r="AB114" s="769">
        <v>650652</v>
      </c>
      <c r="AC114" s="554"/>
      <c r="AD114" s="615">
        <f t="shared" si="44"/>
        <v>650652</v>
      </c>
      <c r="AF114" s="555"/>
    </row>
    <row r="115" spans="1:32" ht="23.25" customHeight="1" x14ac:dyDescent="0.25">
      <c r="A115" s="906"/>
      <c r="B115" s="844"/>
      <c r="C115" s="841"/>
      <c r="D115" s="846"/>
      <c r="E115" s="846"/>
      <c r="F115" s="851" t="s">
        <v>170</v>
      </c>
      <c r="G115" s="852"/>
      <c r="H115" s="852"/>
      <c r="I115" s="852"/>
      <c r="J115" s="852"/>
      <c r="K115" s="852"/>
      <c r="L115" s="852"/>
      <c r="M115" s="852"/>
      <c r="N115" s="852"/>
      <c r="O115" s="852"/>
      <c r="P115" s="853"/>
      <c r="Q115" s="806"/>
      <c r="R115" s="223">
        <f>SUM(R112:R114)</f>
        <v>0</v>
      </c>
      <c r="S115" s="223">
        <f>SUM(S112:S114)</f>
        <v>100000000</v>
      </c>
      <c r="T115" s="223">
        <f t="shared" ref="T115" si="45">SUM(T112:T114)</f>
        <v>100000000</v>
      </c>
      <c r="U115" s="647"/>
      <c r="V115" s="223">
        <f>SUM(V112:V114)</f>
        <v>0</v>
      </c>
      <c r="W115" s="223">
        <f t="shared" ref="W115:X115" si="46">SUM(W112:W114)</f>
        <v>100000000</v>
      </c>
      <c r="X115" s="223">
        <f t="shared" si="46"/>
        <v>100000000</v>
      </c>
      <c r="Y115" s="648"/>
      <c r="Z115" s="223"/>
      <c r="AA115" s="223"/>
      <c r="AB115" s="636">
        <f>SUM(AB112:AB114)</f>
        <v>80324088</v>
      </c>
      <c r="AC115" s="636">
        <f>SUM(AC112:AC114)</f>
        <v>0</v>
      </c>
      <c r="AD115" s="636">
        <f>+AB115+AC115</f>
        <v>80324088</v>
      </c>
    </row>
    <row r="116" spans="1:32" ht="16.5" customHeight="1" x14ac:dyDescent="0.25">
      <c r="A116" s="907"/>
      <c r="B116" s="845"/>
      <c r="C116" s="841"/>
      <c r="D116" s="846"/>
      <c r="E116" s="846"/>
      <c r="F116" s="836" t="s">
        <v>17</v>
      </c>
      <c r="G116" s="836"/>
      <c r="H116" s="836"/>
      <c r="I116" s="836"/>
      <c r="J116" s="836"/>
      <c r="K116" s="836"/>
      <c r="L116" s="836"/>
      <c r="M116" s="836"/>
      <c r="N116" s="836"/>
      <c r="O116" s="836"/>
      <c r="P116" s="836"/>
      <c r="Q116" s="799"/>
      <c r="R116" s="216">
        <f>+R109+R111</f>
        <v>267471012</v>
      </c>
      <c r="S116" s="216">
        <f>+S109+S111+S115</f>
        <v>650000000</v>
      </c>
      <c r="T116" s="216">
        <f>+T109+T111+T115</f>
        <v>917471012</v>
      </c>
      <c r="U116" s="638"/>
      <c r="V116" s="216">
        <f>+V109+V111+V115</f>
        <v>267471012</v>
      </c>
      <c r="W116" s="216">
        <f>+W109+W111+W115</f>
        <v>817471012</v>
      </c>
      <c r="X116" s="216">
        <f>+X109+X111+X115</f>
        <v>917471012</v>
      </c>
      <c r="Y116" s="639"/>
      <c r="Z116" s="216"/>
      <c r="AA116" s="216"/>
      <c r="AB116" s="677">
        <f>+AB109+AB111+AB115</f>
        <v>445271575</v>
      </c>
      <c r="AC116" s="677">
        <f>+AC109+AC111+AC115</f>
        <v>154519506</v>
      </c>
      <c r="AD116" s="677">
        <f>+AD109+AD111+AD115</f>
        <v>599791081</v>
      </c>
    </row>
    <row r="117" spans="1:32" ht="25.5" customHeight="1" x14ac:dyDescent="0.2">
      <c r="A117" s="914" t="str">
        <f>+A81</f>
        <v>113 Bogotá reconoce a sus maestras, maestros y directivos docentes.</v>
      </c>
      <c r="B117" s="908" t="str">
        <f>+B81</f>
        <v>Codigo 386 
Tres centros de Innovación que dinamizan las Estrategias y procesos en la Red de Innovación del Maestro</v>
      </c>
      <c r="C117" s="913" t="s">
        <v>131</v>
      </c>
      <c r="D117" s="845" t="s">
        <v>44</v>
      </c>
      <c r="E117" s="845" t="s">
        <v>44</v>
      </c>
      <c r="F117" s="952" t="s">
        <v>112</v>
      </c>
      <c r="G117" s="547">
        <v>139</v>
      </c>
      <c r="H117" s="547"/>
      <c r="I117" s="232" t="s">
        <v>82</v>
      </c>
      <c r="J117" s="547">
        <v>82111801</v>
      </c>
      <c r="K117" s="548" t="s">
        <v>83</v>
      </c>
      <c r="L117" s="548" t="s">
        <v>419</v>
      </c>
      <c r="M117" s="570" t="s">
        <v>595</v>
      </c>
      <c r="N117" s="678" t="s">
        <v>51</v>
      </c>
      <c r="O117" s="630">
        <v>10</v>
      </c>
      <c r="P117" s="550" t="s">
        <v>572</v>
      </c>
      <c r="Q117" s="679" t="s">
        <v>61</v>
      </c>
      <c r="R117" s="208">
        <v>25150000</v>
      </c>
      <c r="S117" s="230"/>
      <c r="T117" s="210">
        <f>+R117+S117</f>
        <v>25150000</v>
      </c>
      <c r="U117" s="271">
        <v>1</v>
      </c>
      <c r="V117" s="215">
        <f>+R117</f>
        <v>25150000</v>
      </c>
      <c r="W117" s="209"/>
      <c r="X117" s="210">
        <f>+V117+W117</f>
        <v>25150000</v>
      </c>
      <c r="Y117" s="551">
        <v>42803</v>
      </c>
      <c r="Z117" s="680">
        <v>30</v>
      </c>
      <c r="AA117" s="210" t="s">
        <v>286</v>
      </c>
      <c r="AB117" s="554"/>
      <c r="AC117" s="554"/>
      <c r="AD117" s="554"/>
    </row>
    <row r="118" spans="1:32" ht="19.5" customHeight="1" x14ac:dyDescent="0.2">
      <c r="A118" s="906"/>
      <c r="B118" s="909"/>
      <c r="C118" s="913"/>
      <c r="D118" s="841"/>
      <c r="E118" s="841"/>
      <c r="F118" s="953"/>
      <c r="G118" s="547">
        <v>136</v>
      </c>
      <c r="H118" s="547"/>
      <c r="I118" s="232" t="s">
        <v>202</v>
      </c>
      <c r="J118" s="547">
        <v>82111801</v>
      </c>
      <c r="K118" s="548" t="s">
        <v>83</v>
      </c>
      <c r="L118" s="548" t="s">
        <v>419</v>
      </c>
      <c r="M118" s="548" t="s">
        <v>596</v>
      </c>
      <c r="N118" s="678" t="s">
        <v>51</v>
      </c>
      <c r="O118" s="630">
        <v>10</v>
      </c>
      <c r="P118" s="550" t="s">
        <v>572</v>
      </c>
      <c r="Q118" s="679" t="s">
        <v>61</v>
      </c>
      <c r="R118" s="208">
        <f>18770000-7734262</f>
        <v>11035738</v>
      </c>
      <c r="S118" s="230"/>
      <c r="T118" s="210">
        <f t="shared" ref="T118:T120" si="47">SUM(R118:S118)</f>
        <v>11035738</v>
      </c>
      <c r="U118" s="271">
        <v>1</v>
      </c>
      <c r="V118" s="208">
        <f>18770000-7734262</f>
        <v>11035738</v>
      </c>
      <c r="W118" s="230"/>
      <c r="X118" s="210">
        <f t="shared" ref="X118" si="48">SUM(V118:W118)</f>
        <v>11035738</v>
      </c>
      <c r="Y118" s="625">
        <v>42794</v>
      </c>
      <c r="Z118" s="680">
        <v>12</v>
      </c>
      <c r="AA118" s="210" t="s">
        <v>263</v>
      </c>
      <c r="AB118" s="554"/>
      <c r="AC118" s="554"/>
      <c r="AD118" s="554"/>
    </row>
    <row r="119" spans="1:32" ht="16.5" customHeight="1" x14ac:dyDescent="0.2">
      <c r="A119" s="906"/>
      <c r="B119" s="909"/>
      <c r="C119" s="913"/>
      <c r="D119" s="841"/>
      <c r="E119" s="841"/>
      <c r="F119" s="953"/>
      <c r="G119" s="547">
        <v>170</v>
      </c>
      <c r="H119" s="547"/>
      <c r="I119" s="232" t="s">
        <v>240</v>
      </c>
      <c r="J119" s="547">
        <v>82111801</v>
      </c>
      <c r="K119" s="548" t="s">
        <v>83</v>
      </c>
      <c r="L119" s="548" t="s">
        <v>419</v>
      </c>
      <c r="M119" s="548" t="s">
        <v>596</v>
      </c>
      <c r="N119" s="678" t="s">
        <v>87</v>
      </c>
      <c r="O119" s="630">
        <v>9</v>
      </c>
      <c r="P119" s="550" t="s">
        <v>572</v>
      </c>
      <c r="Q119" s="679" t="s">
        <v>61</v>
      </c>
      <c r="R119" s="208">
        <v>7734262</v>
      </c>
      <c r="S119" s="230"/>
      <c r="T119" s="210">
        <f t="shared" si="47"/>
        <v>7734262</v>
      </c>
      <c r="U119" s="271">
        <v>1</v>
      </c>
      <c r="V119" s="208">
        <f>+R119</f>
        <v>7734262</v>
      </c>
      <c r="W119" s="230"/>
      <c r="X119" s="210">
        <f>+V119+W119</f>
        <v>7734262</v>
      </c>
      <c r="Y119" s="625">
        <v>42804</v>
      </c>
      <c r="Z119" s="664">
        <v>32</v>
      </c>
      <c r="AA119" s="210" t="s">
        <v>306</v>
      </c>
      <c r="AB119" s="554"/>
      <c r="AC119" s="554"/>
      <c r="AD119" s="554"/>
    </row>
    <row r="120" spans="1:32" ht="24.75" customHeight="1" x14ac:dyDescent="0.2">
      <c r="A120" s="906"/>
      <c r="B120" s="909"/>
      <c r="C120" s="913"/>
      <c r="D120" s="841"/>
      <c r="E120" s="841"/>
      <c r="F120" s="953"/>
      <c r="G120" s="547">
        <v>138</v>
      </c>
      <c r="H120" s="547"/>
      <c r="I120" s="232" t="s">
        <v>84</v>
      </c>
      <c r="J120" s="547">
        <v>82111801</v>
      </c>
      <c r="K120" s="548" t="s">
        <v>83</v>
      </c>
      <c r="L120" s="548" t="s">
        <v>419</v>
      </c>
      <c r="M120" s="548" t="s">
        <v>596</v>
      </c>
      <c r="N120" s="678" t="s">
        <v>56</v>
      </c>
      <c r="O120" s="630">
        <v>8</v>
      </c>
      <c r="P120" s="550" t="s">
        <v>572</v>
      </c>
      <c r="Q120" s="679" t="s">
        <v>61</v>
      </c>
      <c r="R120" s="208">
        <v>25560000</v>
      </c>
      <c r="S120" s="230"/>
      <c r="T120" s="210">
        <f t="shared" si="47"/>
        <v>25560000</v>
      </c>
      <c r="U120" s="271">
        <v>1</v>
      </c>
      <c r="V120" s="208">
        <v>25560000</v>
      </c>
      <c r="W120" s="230"/>
      <c r="X120" s="210">
        <f>+V120+W120</f>
        <v>25560000</v>
      </c>
      <c r="Y120" s="625">
        <v>42860</v>
      </c>
      <c r="Z120" s="230">
        <v>72</v>
      </c>
      <c r="AA120" s="210" t="s">
        <v>454</v>
      </c>
      <c r="AB120" s="554"/>
      <c r="AC120" s="554"/>
      <c r="AD120" s="554"/>
    </row>
    <row r="121" spans="1:32" ht="24" customHeight="1" x14ac:dyDescent="0.2">
      <c r="A121" s="906"/>
      <c r="B121" s="909"/>
      <c r="C121" s="913"/>
      <c r="D121" s="841"/>
      <c r="E121" s="841"/>
      <c r="F121" s="953"/>
      <c r="G121" s="547">
        <v>183</v>
      </c>
      <c r="H121" s="547"/>
      <c r="I121" s="233" t="s">
        <v>280</v>
      </c>
      <c r="J121" s="547">
        <v>82111801</v>
      </c>
      <c r="K121" s="548" t="s">
        <v>83</v>
      </c>
      <c r="L121" s="548" t="s">
        <v>419</v>
      </c>
      <c r="M121" s="548" t="s">
        <v>596</v>
      </c>
      <c r="N121" s="681" t="s">
        <v>56</v>
      </c>
      <c r="O121" s="630">
        <v>9</v>
      </c>
      <c r="P121" s="579" t="s">
        <v>105</v>
      </c>
      <c r="Q121" s="679" t="s">
        <v>105</v>
      </c>
      <c r="R121" s="208">
        <v>26155250</v>
      </c>
      <c r="S121" s="230"/>
      <c r="T121" s="210">
        <f>+R121+S121</f>
        <v>26155250</v>
      </c>
      <c r="U121" s="271"/>
      <c r="V121" s="208">
        <v>26155250</v>
      </c>
      <c r="W121" s="230"/>
      <c r="X121" s="210">
        <f>+V121+W121</f>
        <v>26155250</v>
      </c>
      <c r="Y121" s="644">
        <v>42877</v>
      </c>
      <c r="Z121" s="230">
        <v>87</v>
      </c>
      <c r="AA121" s="210" t="s">
        <v>484</v>
      </c>
      <c r="AB121" s="554"/>
      <c r="AC121" s="554"/>
      <c r="AD121" s="554"/>
    </row>
    <row r="122" spans="1:32" ht="21" customHeight="1" x14ac:dyDescent="0.2">
      <c r="A122" s="906"/>
      <c r="B122" s="909"/>
      <c r="C122" s="913"/>
      <c r="D122" s="841"/>
      <c r="E122" s="841"/>
      <c r="F122" s="954"/>
      <c r="G122" s="578">
        <v>327</v>
      </c>
      <c r="H122" s="547"/>
      <c r="I122" s="219" t="s">
        <v>736</v>
      </c>
      <c r="J122" s="547">
        <v>82111801</v>
      </c>
      <c r="K122" s="548" t="s">
        <v>121</v>
      </c>
      <c r="L122" s="548"/>
      <c r="M122" s="548" t="s">
        <v>591</v>
      </c>
      <c r="N122" s="628" t="s">
        <v>99</v>
      </c>
      <c r="O122" s="549">
        <v>2</v>
      </c>
      <c r="P122" s="579" t="s">
        <v>694</v>
      </c>
      <c r="Q122" s="679"/>
      <c r="R122" s="208">
        <v>3844750</v>
      </c>
      <c r="S122" s="230"/>
      <c r="T122" s="210">
        <v>3844750</v>
      </c>
      <c r="U122" s="271"/>
      <c r="V122" s="208"/>
      <c r="W122" s="230"/>
      <c r="X122" s="210"/>
      <c r="Y122" s="644"/>
      <c r="Z122" s="230"/>
      <c r="AA122" s="210"/>
      <c r="AB122" s="554"/>
      <c r="AC122" s="554"/>
      <c r="AD122" s="554"/>
    </row>
    <row r="123" spans="1:32" ht="15" customHeight="1" x14ac:dyDescent="0.25">
      <c r="A123" s="906"/>
      <c r="B123" s="909"/>
      <c r="C123" s="913"/>
      <c r="D123" s="841"/>
      <c r="E123" s="841"/>
      <c r="F123" s="827" t="s">
        <v>94</v>
      </c>
      <c r="G123" s="827"/>
      <c r="H123" s="827"/>
      <c r="I123" s="827"/>
      <c r="J123" s="827"/>
      <c r="K123" s="827"/>
      <c r="L123" s="827"/>
      <c r="M123" s="827"/>
      <c r="N123" s="827"/>
      <c r="O123" s="827"/>
      <c r="P123" s="827"/>
      <c r="Q123" s="795"/>
      <c r="R123" s="223">
        <f>SUM(R117:R122)</f>
        <v>99480000</v>
      </c>
      <c r="S123" s="223">
        <f>SUM(S117:S122)</f>
        <v>0</v>
      </c>
      <c r="T123" s="223">
        <f>SUM(T117:T122)</f>
        <v>99480000</v>
      </c>
      <c r="U123" s="647"/>
      <c r="V123" s="223">
        <f>SUM(V117:V122)</f>
        <v>95635250</v>
      </c>
      <c r="W123" s="223">
        <f t="shared" ref="W123" si="49">SUM(W117:W121)</f>
        <v>0</v>
      </c>
      <c r="X123" s="223">
        <f>SUM(X117:X122)</f>
        <v>95635250</v>
      </c>
      <c r="Y123" s="223"/>
      <c r="Z123" s="223"/>
      <c r="AA123" s="223"/>
      <c r="AB123" s="561"/>
      <c r="AC123" s="618">
        <v>77832250</v>
      </c>
      <c r="AD123" s="618">
        <f>+AB123+AC123</f>
        <v>77832250</v>
      </c>
    </row>
    <row r="124" spans="1:32" ht="27" customHeight="1" x14ac:dyDescent="0.2">
      <c r="A124" s="906"/>
      <c r="B124" s="909"/>
      <c r="C124" s="913"/>
      <c r="D124" s="841"/>
      <c r="E124" s="841"/>
      <c r="F124" s="952" t="s">
        <v>113</v>
      </c>
      <c r="G124" s="547">
        <v>140</v>
      </c>
      <c r="H124" s="547"/>
      <c r="I124" s="232" t="s">
        <v>85</v>
      </c>
      <c r="J124" s="547">
        <v>82141504</v>
      </c>
      <c r="K124" s="548" t="s">
        <v>121</v>
      </c>
      <c r="L124" s="548" t="s">
        <v>415</v>
      </c>
      <c r="M124" s="548" t="s">
        <v>591</v>
      </c>
      <c r="N124" s="682" t="s">
        <v>51</v>
      </c>
      <c r="O124" s="549">
        <v>10</v>
      </c>
      <c r="P124" s="550" t="s">
        <v>572</v>
      </c>
      <c r="Q124" s="550" t="s">
        <v>61</v>
      </c>
      <c r="R124" s="230">
        <v>27383073</v>
      </c>
      <c r="S124" s="230"/>
      <c r="T124" s="210">
        <f t="shared" ref="T124:T128" si="50">SUM(R124:S124)</f>
        <v>27383073</v>
      </c>
      <c r="U124" s="271">
        <v>1</v>
      </c>
      <c r="V124" s="230">
        <v>27383073</v>
      </c>
      <c r="W124" s="230"/>
      <c r="X124" s="210">
        <f t="shared" ref="X124" si="51">SUM(V124:W124)</f>
        <v>27383073</v>
      </c>
      <c r="Y124" s="551">
        <v>42794</v>
      </c>
      <c r="Z124" s="626">
        <v>13</v>
      </c>
      <c r="AA124" s="210" t="s">
        <v>264</v>
      </c>
      <c r="AB124" s="554"/>
      <c r="AC124" s="554"/>
      <c r="AD124" s="554"/>
    </row>
    <row r="125" spans="1:32" ht="26.25" customHeight="1" x14ac:dyDescent="0.2">
      <c r="A125" s="906"/>
      <c r="B125" s="909"/>
      <c r="C125" s="913"/>
      <c r="D125" s="841"/>
      <c r="E125" s="841"/>
      <c r="F125" s="953"/>
      <c r="G125" s="547">
        <v>71</v>
      </c>
      <c r="H125" s="547"/>
      <c r="I125" s="232" t="s">
        <v>45</v>
      </c>
      <c r="J125" s="547">
        <v>80111621</v>
      </c>
      <c r="K125" s="548" t="s">
        <v>86</v>
      </c>
      <c r="L125" s="548" t="s">
        <v>417</v>
      </c>
      <c r="M125" s="548" t="s">
        <v>593</v>
      </c>
      <c r="N125" s="682" t="s">
        <v>87</v>
      </c>
      <c r="O125" s="549">
        <v>10</v>
      </c>
      <c r="P125" s="550" t="s">
        <v>572</v>
      </c>
      <c r="Q125" s="550" t="s">
        <v>61</v>
      </c>
      <c r="R125" s="230">
        <v>35495989</v>
      </c>
      <c r="S125" s="230"/>
      <c r="T125" s="210">
        <f t="shared" si="50"/>
        <v>35495989</v>
      </c>
      <c r="U125" s="271">
        <v>1</v>
      </c>
      <c r="V125" s="230">
        <v>35495989</v>
      </c>
      <c r="W125" s="230"/>
      <c r="X125" s="210">
        <f t="shared" ref="X125:X130" si="52">+V125+W125</f>
        <v>35495989</v>
      </c>
      <c r="Y125" s="551">
        <v>42797</v>
      </c>
      <c r="Z125" s="664">
        <v>21</v>
      </c>
      <c r="AA125" s="210" t="s">
        <v>275</v>
      </c>
      <c r="AB125" s="554"/>
      <c r="AC125" s="554"/>
      <c r="AD125" s="554"/>
    </row>
    <row r="126" spans="1:32" ht="54" customHeight="1" x14ac:dyDescent="0.2">
      <c r="A126" s="915"/>
      <c r="B126" s="910"/>
      <c r="C126" s="916"/>
      <c r="D126" s="842"/>
      <c r="E126" s="842"/>
      <c r="F126" s="953"/>
      <c r="G126" s="547">
        <v>184</v>
      </c>
      <c r="H126" s="547"/>
      <c r="I126" s="232" t="s">
        <v>281</v>
      </c>
      <c r="J126" s="547">
        <v>80111621</v>
      </c>
      <c r="K126" s="548" t="s">
        <v>86</v>
      </c>
      <c r="L126" s="548" t="s">
        <v>417</v>
      </c>
      <c r="M126" s="570" t="s">
        <v>605</v>
      </c>
      <c r="N126" s="682" t="s">
        <v>87</v>
      </c>
      <c r="O126" s="549">
        <v>10</v>
      </c>
      <c r="P126" s="550" t="s">
        <v>572</v>
      </c>
      <c r="Q126" s="550" t="s">
        <v>61</v>
      </c>
      <c r="R126" s="230">
        <f>39307350-35495989</f>
        <v>3811361</v>
      </c>
      <c r="S126" s="230"/>
      <c r="T126" s="210">
        <f>+R126+S126</f>
        <v>3811361</v>
      </c>
      <c r="U126" s="271">
        <v>1</v>
      </c>
      <c r="V126" s="230">
        <v>3811361</v>
      </c>
      <c r="W126" s="230"/>
      <c r="X126" s="210">
        <f t="shared" si="52"/>
        <v>3811361</v>
      </c>
      <c r="Y126" s="551">
        <v>42804</v>
      </c>
      <c r="Z126" s="664">
        <v>68</v>
      </c>
      <c r="AA126" s="210" t="s">
        <v>308</v>
      </c>
      <c r="AB126" s="554"/>
      <c r="AC126" s="554"/>
      <c r="AD126" s="554"/>
    </row>
    <row r="127" spans="1:32" ht="49.5" customHeight="1" x14ac:dyDescent="0.2">
      <c r="A127" s="906"/>
      <c r="B127" s="909"/>
      <c r="C127" s="913"/>
      <c r="D127" s="841"/>
      <c r="E127" s="841"/>
      <c r="F127" s="953"/>
      <c r="G127" s="547">
        <v>204</v>
      </c>
      <c r="H127" s="547"/>
      <c r="I127" s="683" t="s">
        <v>330</v>
      </c>
      <c r="J127" s="548">
        <v>80111601</v>
      </c>
      <c r="K127" s="548" t="s">
        <v>121</v>
      </c>
      <c r="L127" s="548" t="s">
        <v>415</v>
      </c>
      <c r="M127" s="548" t="s">
        <v>591</v>
      </c>
      <c r="N127" s="549" t="s">
        <v>324</v>
      </c>
      <c r="O127" s="549">
        <v>8</v>
      </c>
      <c r="P127" s="550" t="s">
        <v>572</v>
      </c>
      <c r="Q127" s="550" t="s">
        <v>61</v>
      </c>
      <c r="R127" s="230">
        <f>81599902</f>
        <v>81599902</v>
      </c>
      <c r="S127" s="230"/>
      <c r="T127" s="210">
        <f>+R127+S127</f>
        <v>81599902</v>
      </c>
      <c r="U127" s="271">
        <v>1</v>
      </c>
      <c r="V127" s="230">
        <v>81599902</v>
      </c>
      <c r="W127" s="230"/>
      <c r="X127" s="210">
        <f t="shared" si="52"/>
        <v>81599902</v>
      </c>
      <c r="Y127" s="551">
        <v>42843</v>
      </c>
      <c r="Z127" s="552">
        <v>45</v>
      </c>
      <c r="AA127" s="556" t="s">
        <v>394</v>
      </c>
      <c r="AB127" s="554"/>
      <c r="AC127" s="554"/>
      <c r="AD127" s="554"/>
    </row>
    <row r="128" spans="1:32" ht="24.75" customHeight="1" x14ac:dyDescent="0.2">
      <c r="A128" s="906"/>
      <c r="B128" s="909"/>
      <c r="C128" s="913"/>
      <c r="D128" s="841"/>
      <c r="E128" s="841"/>
      <c r="F128" s="953"/>
      <c r="G128" s="547">
        <v>172</v>
      </c>
      <c r="H128" s="547"/>
      <c r="I128" s="239" t="s">
        <v>242</v>
      </c>
      <c r="J128" s="547">
        <v>81112103</v>
      </c>
      <c r="K128" s="548" t="s">
        <v>121</v>
      </c>
      <c r="L128" s="548" t="s">
        <v>415</v>
      </c>
      <c r="M128" s="548" t="s">
        <v>591</v>
      </c>
      <c r="N128" s="682" t="s">
        <v>87</v>
      </c>
      <c r="O128" s="549">
        <v>10</v>
      </c>
      <c r="P128" s="550" t="s">
        <v>572</v>
      </c>
      <c r="Q128" s="550" t="s">
        <v>61</v>
      </c>
      <c r="R128" s="230">
        <v>18918013</v>
      </c>
      <c r="S128" s="230"/>
      <c r="T128" s="210">
        <f t="shared" si="50"/>
        <v>18918013</v>
      </c>
      <c r="U128" s="271">
        <v>1</v>
      </c>
      <c r="V128" s="230">
        <v>18918013</v>
      </c>
      <c r="W128" s="230"/>
      <c r="X128" s="210">
        <f t="shared" si="52"/>
        <v>18918013</v>
      </c>
      <c r="Y128" s="551">
        <v>42801</v>
      </c>
      <c r="Z128" s="664">
        <v>27</v>
      </c>
      <c r="AA128" s="210" t="s">
        <v>274</v>
      </c>
      <c r="AB128" s="554"/>
      <c r="AC128" s="554"/>
      <c r="AD128" s="554"/>
    </row>
    <row r="129" spans="1:31" ht="50.25" customHeight="1" x14ac:dyDescent="0.2">
      <c r="A129" s="906"/>
      <c r="B129" s="909"/>
      <c r="C129" s="913"/>
      <c r="D129" s="841"/>
      <c r="E129" s="841"/>
      <c r="F129" s="953"/>
      <c r="G129" s="547">
        <v>174</v>
      </c>
      <c r="H129" s="547"/>
      <c r="I129" s="232" t="s">
        <v>251</v>
      </c>
      <c r="J129" s="547">
        <v>80111621</v>
      </c>
      <c r="K129" s="548" t="s">
        <v>121</v>
      </c>
      <c r="L129" s="548" t="s">
        <v>415</v>
      </c>
      <c r="M129" s="548" t="s">
        <v>591</v>
      </c>
      <c r="N129" s="682" t="s">
        <v>51</v>
      </c>
      <c r="O129" s="549">
        <v>10</v>
      </c>
      <c r="P129" s="550" t="s">
        <v>572</v>
      </c>
      <c r="Q129" s="579" t="s">
        <v>61</v>
      </c>
      <c r="R129" s="230">
        <f>167094477</f>
        <v>167094477</v>
      </c>
      <c r="S129" s="230"/>
      <c r="T129" s="210">
        <f>+R129+S129</f>
        <v>167094477</v>
      </c>
      <c r="U129" s="271">
        <v>1</v>
      </c>
      <c r="V129" s="230">
        <f>+R129</f>
        <v>167094477</v>
      </c>
      <c r="W129" s="230"/>
      <c r="X129" s="210">
        <f t="shared" si="52"/>
        <v>167094477</v>
      </c>
      <c r="Y129" s="551">
        <v>42804</v>
      </c>
      <c r="Z129" s="664">
        <v>33</v>
      </c>
      <c r="AA129" s="210" t="s">
        <v>307</v>
      </c>
      <c r="AB129" s="554"/>
      <c r="AC129" s="554"/>
      <c r="AD129" s="554"/>
    </row>
    <row r="130" spans="1:31" ht="31.5" customHeight="1" x14ac:dyDescent="0.2">
      <c r="A130" s="906"/>
      <c r="B130" s="909"/>
      <c r="C130" s="913"/>
      <c r="D130" s="841"/>
      <c r="E130" s="841"/>
      <c r="F130" s="954"/>
      <c r="G130" s="547">
        <v>143</v>
      </c>
      <c r="H130" s="547"/>
      <c r="I130" s="233" t="s">
        <v>207</v>
      </c>
      <c r="J130" s="548">
        <v>80111621</v>
      </c>
      <c r="K130" s="548" t="s">
        <v>83</v>
      </c>
      <c r="L130" s="548" t="s">
        <v>419</v>
      </c>
      <c r="M130" s="548" t="s">
        <v>596</v>
      </c>
      <c r="N130" s="682" t="s">
        <v>87</v>
      </c>
      <c r="O130" s="549">
        <v>2</v>
      </c>
      <c r="P130" s="550" t="s">
        <v>572</v>
      </c>
      <c r="Q130" s="579" t="s">
        <v>61</v>
      </c>
      <c r="R130" s="230">
        <f>12115538-112000</f>
        <v>12003538</v>
      </c>
      <c r="S130" s="230"/>
      <c r="T130" s="210">
        <f>+R130+S130</f>
        <v>12003538</v>
      </c>
      <c r="U130" s="271">
        <v>1</v>
      </c>
      <c r="V130" s="230">
        <v>12003538</v>
      </c>
      <c r="W130" s="230"/>
      <c r="X130" s="210">
        <f t="shared" si="52"/>
        <v>12003538</v>
      </c>
      <c r="Y130" s="625">
        <v>42818</v>
      </c>
      <c r="Z130" s="230">
        <v>38</v>
      </c>
      <c r="AA130" s="210" t="s">
        <v>322</v>
      </c>
      <c r="AB130" s="554"/>
      <c r="AC130" s="554"/>
      <c r="AD130" s="554"/>
    </row>
    <row r="131" spans="1:31" ht="12" customHeight="1" x14ac:dyDescent="0.25">
      <c r="A131" s="906"/>
      <c r="B131" s="909"/>
      <c r="C131" s="913"/>
      <c r="D131" s="841"/>
      <c r="E131" s="841"/>
      <c r="F131" s="827" t="s">
        <v>94</v>
      </c>
      <c r="G131" s="827"/>
      <c r="H131" s="827"/>
      <c r="I131" s="827"/>
      <c r="J131" s="827"/>
      <c r="K131" s="827"/>
      <c r="L131" s="827"/>
      <c r="M131" s="827"/>
      <c r="N131" s="827"/>
      <c r="O131" s="827"/>
      <c r="P131" s="827"/>
      <c r="Q131" s="795"/>
      <c r="R131" s="223">
        <f>SUM(R124:R130)</f>
        <v>346306353</v>
      </c>
      <c r="S131" s="223">
        <f>SUM(S124:S130)</f>
        <v>0</v>
      </c>
      <c r="T131" s="223">
        <f>SUM(T124:T130)</f>
        <v>346306353</v>
      </c>
      <c r="U131" s="647"/>
      <c r="V131" s="223">
        <f>SUM(V124:V130)</f>
        <v>346306353</v>
      </c>
      <c r="W131" s="223">
        <f>SUM(W124:W130)</f>
        <v>0</v>
      </c>
      <c r="X131" s="223">
        <f>SUM(X124:X130)</f>
        <v>346306353</v>
      </c>
      <c r="Y131" s="648"/>
      <c r="Z131" s="223"/>
      <c r="AA131" s="223"/>
      <c r="AB131" s="675"/>
      <c r="AC131" s="684">
        <v>298316974.5</v>
      </c>
      <c r="AD131" s="684">
        <f>+AB131+AC131</f>
        <v>298316974.5</v>
      </c>
    </row>
    <row r="132" spans="1:31" ht="73.5" customHeight="1" x14ac:dyDescent="0.2">
      <c r="A132" s="906"/>
      <c r="B132" s="909"/>
      <c r="C132" s="913"/>
      <c r="D132" s="841"/>
      <c r="E132" s="841"/>
      <c r="F132" s="206" t="s">
        <v>221</v>
      </c>
      <c r="G132" s="547">
        <v>144</v>
      </c>
      <c r="H132" s="547"/>
      <c r="I132" s="235" t="s">
        <v>88</v>
      </c>
      <c r="J132" s="548">
        <v>80111621</v>
      </c>
      <c r="K132" s="548" t="s">
        <v>83</v>
      </c>
      <c r="L132" s="548" t="s">
        <v>421</v>
      </c>
      <c r="M132" s="606" t="s">
        <v>603</v>
      </c>
      <c r="N132" s="682" t="s">
        <v>87</v>
      </c>
      <c r="O132" s="549">
        <v>6</v>
      </c>
      <c r="P132" s="550" t="s">
        <v>572</v>
      </c>
      <c r="Q132" s="550" t="s">
        <v>61</v>
      </c>
      <c r="R132" s="230">
        <f>52248000-247380</f>
        <v>52000620</v>
      </c>
      <c r="S132" s="230"/>
      <c r="T132" s="210">
        <f t="shared" ref="T132" si="53">SUM(R132:S132)</f>
        <v>52000620</v>
      </c>
      <c r="U132" s="271">
        <v>1</v>
      </c>
      <c r="V132" s="230">
        <v>52000620</v>
      </c>
      <c r="W132" s="230"/>
      <c r="X132" s="210">
        <f>+V132+W132</f>
        <v>52000620</v>
      </c>
      <c r="Y132" s="625">
        <v>42831</v>
      </c>
      <c r="Z132" s="664">
        <v>42</v>
      </c>
      <c r="AA132" s="210" t="s">
        <v>369</v>
      </c>
      <c r="AB132" s="554"/>
      <c r="AC132" s="554"/>
      <c r="AD132" s="554"/>
    </row>
    <row r="133" spans="1:31" ht="12.75" customHeight="1" x14ac:dyDescent="0.25">
      <c r="A133" s="906"/>
      <c r="B133" s="909"/>
      <c r="C133" s="913"/>
      <c r="D133" s="841"/>
      <c r="E133" s="841"/>
      <c r="F133" s="827" t="s">
        <v>94</v>
      </c>
      <c r="G133" s="827"/>
      <c r="H133" s="827"/>
      <c r="I133" s="827"/>
      <c r="J133" s="827"/>
      <c r="K133" s="827"/>
      <c r="L133" s="827"/>
      <c r="M133" s="827"/>
      <c r="N133" s="827"/>
      <c r="O133" s="827"/>
      <c r="P133" s="827"/>
      <c r="Q133" s="795"/>
      <c r="R133" s="223">
        <f>+R132</f>
        <v>52000620</v>
      </c>
      <c r="S133" s="223">
        <f t="shared" ref="S133:T133" si="54">+S132</f>
        <v>0</v>
      </c>
      <c r="T133" s="223">
        <f t="shared" si="54"/>
        <v>52000620</v>
      </c>
      <c r="U133" s="647"/>
      <c r="V133" s="223">
        <f>+V132</f>
        <v>52000620</v>
      </c>
      <c r="W133" s="223">
        <f t="shared" ref="W133:X133" si="55">+W132</f>
        <v>0</v>
      </c>
      <c r="X133" s="223">
        <f t="shared" si="55"/>
        <v>52000620</v>
      </c>
      <c r="Y133" s="648"/>
      <c r="Z133" s="223"/>
      <c r="AA133" s="223"/>
      <c r="AB133" s="561"/>
      <c r="AC133" s="562">
        <v>52000620</v>
      </c>
      <c r="AD133" s="563">
        <f>+AB133+AC133</f>
        <v>52000620</v>
      </c>
    </row>
    <row r="134" spans="1:31" ht="46.5" customHeight="1" x14ac:dyDescent="0.2">
      <c r="A134" s="906"/>
      <c r="B134" s="909"/>
      <c r="C134" s="913"/>
      <c r="D134" s="841"/>
      <c r="E134" s="841"/>
      <c r="F134" s="206" t="s">
        <v>114</v>
      </c>
      <c r="G134" s="547">
        <v>204</v>
      </c>
      <c r="H134" s="547"/>
      <c r="I134" s="240" t="s">
        <v>330</v>
      </c>
      <c r="J134" s="578" t="s">
        <v>133</v>
      </c>
      <c r="K134" s="596" t="s">
        <v>121</v>
      </c>
      <c r="L134" s="548" t="s">
        <v>415</v>
      </c>
      <c r="M134" s="548" t="s">
        <v>591</v>
      </c>
      <c r="N134" s="682" t="s">
        <v>56</v>
      </c>
      <c r="O134" s="549">
        <v>1</v>
      </c>
      <c r="P134" s="550" t="s">
        <v>572</v>
      </c>
      <c r="Q134" s="550" t="s">
        <v>61</v>
      </c>
      <c r="R134" s="230">
        <v>2213027</v>
      </c>
      <c r="S134" s="230"/>
      <c r="T134" s="210">
        <f>+R134+S134</f>
        <v>2213027</v>
      </c>
      <c r="U134" s="271">
        <v>1</v>
      </c>
      <c r="V134" s="230">
        <v>2213027</v>
      </c>
      <c r="W134" s="230"/>
      <c r="X134" s="210">
        <f>+V134+W134</f>
        <v>2213027</v>
      </c>
      <c r="Y134" s="551">
        <v>42843</v>
      </c>
      <c r="Z134" s="552">
        <v>45</v>
      </c>
      <c r="AA134" s="556" t="s">
        <v>394</v>
      </c>
      <c r="AB134" s="554"/>
      <c r="AC134" s="554"/>
      <c r="AD134" s="554"/>
    </row>
    <row r="135" spans="1:31" ht="15" customHeight="1" x14ac:dyDescent="0.25">
      <c r="A135" s="906"/>
      <c r="B135" s="909"/>
      <c r="C135" s="913"/>
      <c r="D135" s="841"/>
      <c r="E135" s="841"/>
      <c r="F135" s="827" t="s">
        <v>94</v>
      </c>
      <c r="G135" s="827"/>
      <c r="H135" s="827"/>
      <c r="I135" s="827"/>
      <c r="J135" s="827"/>
      <c r="K135" s="827"/>
      <c r="L135" s="827"/>
      <c r="M135" s="827"/>
      <c r="N135" s="827"/>
      <c r="O135" s="827"/>
      <c r="P135" s="827"/>
      <c r="Q135" s="795"/>
      <c r="R135" s="223">
        <f>+R134</f>
        <v>2213027</v>
      </c>
      <c r="S135" s="223">
        <f>+S134</f>
        <v>0</v>
      </c>
      <c r="T135" s="223">
        <f>+R135+S135</f>
        <v>2213027</v>
      </c>
      <c r="U135" s="647"/>
      <c r="V135" s="223">
        <f>+V134</f>
        <v>2213027</v>
      </c>
      <c r="W135" s="223">
        <f t="shared" ref="W135:X135" si="56">+W134</f>
        <v>0</v>
      </c>
      <c r="X135" s="223">
        <f t="shared" si="56"/>
        <v>2213027</v>
      </c>
      <c r="Y135" s="648"/>
      <c r="Z135" s="223"/>
      <c r="AA135" s="223"/>
      <c r="AB135" s="561">
        <v>0</v>
      </c>
      <c r="AC135" s="586">
        <v>2213027</v>
      </c>
      <c r="AD135" s="586">
        <f>+AB135+AC135</f>
        <v>2213027</v>
      </c>
    </row>
    <row r="136" spans="1:31" ht="54" customHeight="1" x14ac:dyDescent="0.2">
      <c r="A136" s="906"/>
      <c r="B136" s="909"/>
      <c r="C136" s="913"/>
      <c r="D136" s="841"/>
      <c r="E136" s="841"/>
      <c r="F136" s="859" t="s">
        <v>356</v>
      </c>
      <c r="G136" s="574">
        <v>242</v>
      </c>
      <c r="H136" s="685"/>
      <c r="I136" s="201" t="s">
        <v>357</v>
      </c>
      <c r="J136" s="547">
        <v>80111621</v>
      </c>
      <c r="K136" s="548" t="s">
        <v>122</v>
      </c>
      <c r="L136" s="548" t="s">
        <v>418</v>
      </c>
      <c r="M136" s="650" t="s">
        <v>604</v>
      </c>
      <c r="N136" s="201" t="s">
        <v>63</v>
      </c>
      <c r="O136" s="609">
        <v>8</v>
      </c>
      <c r="P136" s="550" t="s">
        <v>572</v>
      </c>
      <c r="Q136" s="546" t="s">
        <v>61</v>
      </c>
      <c r="R136" s="236"/>
      <c r="S136" s="227">
        <v>36682979</v>
      </c>
      <c r="T136" s="230">
        <f>+R136+S136</f>
        <v>36682979</v>
      </c>
      <c r="U136" s="686">
        <v>1</v>
      </c>
      <c r="V136" s="236"/>
      <c r="W136" s="230">
        <v>36682979</v>
      </c>
      <c r="X136" s="230">
        <f>+W136</f>
        <v>36682979</v>
      </c>
      <c r="Y136" s="551">
        <v>42844</v>
      </c>
      <c r="Z136" s="664">
        <v>52</v>
      </c>
      <c r="AA136" s="616" t="s">
        <v>403</v>
      </c>
      <c r="AB136" s="768">
        <v>32920622</v>
      </c>
      <c r="AC136" s="554"/>
      <c r="AD136" s="655">
        <f>+AB136+AC136</f>
        <v>32920622</v>
      </c>
    </row>
    <row r="137" spans="1:31" ht="3" customHeight="1" x14ac:dyDescent="0.2">
      <c r="A137" s="906"/>
      <c r="B137" s="909"/>
      <c r="C137" s="913"/>
      <c r="D137" s="841"/>
      <c r="E137" s="841"/>
      <c r="F137" s="869"/>
      <c r="G137" s="596">
        <v>278</v>
      </c>
      <c r="H137" s="685"/>
      <c r="I137" s="201" t="s">
        <v>491</v>
      </c>
      <c r="J137" s="547">
        <v>80111621</v>
      </c>
      <c r="K137" s="548" t="s">
        <v>122</v>
      </c>
      <c r="L137" s="548" t="s">
        <v>418</v>
      </c>
      <c r="M137" s="606" t="s">
        <v>594</v>
      </c>
      <c r="N137" s="201" t="s">
        <v>77</v>
      </c>
      <c r="O137" s="609">
        <v>2</v>
      </c>
      <c r="P137" s="546" t="s">
        <v>568</v>
      </c>
      <c r="Q137" s="546" t="str">
        <f>+P137</f>
        <v>Selección Abreviada Menor cuantía</v>
      </c>
      <c r="R137" s="236"/>
      <c r="S137" s="227">
        <f>29787298+1881176-31668474</f>
        <v>0</v>
      </c>
      <c r="T137" s="230">
        <f t="shared" ref="T137:T142" si="57">+R137+S137</f>
        <v>0</v>
      </c>
      <c r="U137" s="686"/>
      <c r="V137" s="236"/>
      <c r="W137" s="236"/>
      <c r="X137" s="236"/>
      <c r="Y137" s="687"/>
      <c r="Z137" s="236"/>
      <c r="AA137" s="236"/>
      <c r="AB137" s="768"/>
      <c r="AC137" s="554"/>
      <c r="AD137" s="655">
        <f t="shared" ref="AD137:AD138" si="58">+AB137+AC137</f>
        <v>0</v>
      </c>
    </row>
    <row r="138" spans="1:31" ht="83.25" customHeight="1" x14ac:dyDescent="0.2">
      <c r="A138" s="906"/>
      <c r="B138" s="909"/>
      <c r="C138" s="913"/>
      <c r="D138" s="841"/>
      <c r="E138" s="841"/>
      <c r="F138" s="869"/>
      <c r="G138" s="548">
        <v>307</v>
      </c>
      <c r="H138" s="685"/>
      <c r="I138" s="201" t="s">
        <v>705</v>
      </c>
      <c r="J138" s="547">
        <v>80111621</v>
      </c>
      <c r="K138" s="548" t="s">
        <v>122</v>
      </c>
      <c r="L138" s="548" t="s">
        <v>418</v>
      </c>
      <c r="M138" s="606" t="s">
        <v>594</v>
      </c>
      <c r="N138" s="201" t="s">
        <v>77</v>
      </c>
      <c r="O138" s="609">
        <v>2</v>
      </c>
      <c r="P138" s="546" t="s">
        <v>572</v>
      </c>
      <c r="Q138" s="546"/>
      <c r="R138" s="236"/>
      <c r="S138" s="227">
        <v>31668474</v>
      </c>
      <c r="T138" s="230">
        <f>+R138+S138</f>
        <v>31668474</v>
      </c>
      <c r="U138" s="686"/>
      <c r="V138" s="236"/>
      <c r="W138" s="230">
        <v>31668474</v>
      </c>
      <c r="X138" s="230">
        <f>+V138+W138</f>
        <v>31668474</v>
      </c>
      <c r="Y138" s="676">
        <v>43019</v>
      </c>
      <c r="Z138" s="230">
        <v>82</v>
      </c>
      <c r="AA138" s="616" t="s">
        <v>482</v>
      </c>
      <c r="AB138" s="768">
        <v>4744159</v>
      </c>
      <c r="AC138" s="554"/>
      <c r="AD138" s="655">
        <f t="shared" si="58"/>
        <v>4744159</v>
      </c>
    </row>
    <row r="139" spans="1:31" ht="67.5" customHeight="1" x14ac:dyDescent="0.2">
      <c r="A139" s="906"/>
      <c r="B139" s="909"/>
      <c r="C139" s="913"/>
      <c r="D139" s="841"/>
      <c r="E139" s="841"/>
      <c r="F139" s="869"/>
      <c r="G139" s="548">
        <v>245</v>
      </c>
      <c r="H139" s="685"/>
      <c r="I139" s="201" t="s">
        <v>389</v>
      </c>
      <c r="J139" s="547">
        <v>80111621</v>
      </c>
      <c r="K139" s="548" t="s">
        <v>93</v>
      </c>
      <c r="L139" s="548" t="s">
        <v>422</v>
      </c>
      <c r="M139" s="548" t="s">
        <v>606</v>
      </c>
      <c r="N139" s="201" t="s">
        <v>58</v>
      </c>
      <c r="O139" s="609">
        <v>5</v>
      </c>
      <c r="P139" s="550" t="s">
        <v>572</v>
      </c>
      <c r="Q139" s="546" t="s">
        <v>61</v>
      </c>
      <c r="R139" s="236"/>
      <c r="S139" s="227">
        <v>278334000</v>
      </c>
      <c r="T139" s="230">
        <f t="shared" si="57"/>
        <v>278334000</v>
      </c>
      <c r="U139" s="664"/>
      <c r="V139" s="230"/>
      <c r="W139" s="230">
        <v>278334000</v>
      </c>
      <c r="X139" s="230">
        <f>+V139+W139</f>
        <v>278334000</v>
      </c>
      <c r="Y139" s="688">
        <v>42956</v>
      </c>
      <c r="Z139" s="230">
        <v>106</v>
      </c>
      <c r="AA139" s="616" t="s">
        <v>687</v>
      </c>
      <c r="AB139" s="768">
        <v>194833800</v>
      </c>
      <c r="AC139" s="554"/>
      <c r="AD139" s="655">
        <f>+AB139+AC139</f>
        <v>194833800</v>
      </c>
    </row>
    <row r="140" spans="1:31" ht="84" customHeight="1" x14ac:dyDescent="0.2">
      <c r="A140" s="906"/>
      <c r="B140" s="909"/>
      <c r="C140" s="913"/>
      <c r="D140" s="841"/>
      <c r="E140" s="841"/>
      <c r="F140" s="869"/>
      <c r="G140" s="653">
        <v>246</v>
      </c>
      <c r="H140" s="685"/>
      <c r="I140" s="201" t="s">
        <v>351</v>
      </c>
      <c r="J140" s="547">
        <v>80111621</v>
      </c>
      <c r="K140" s="548" t="s">
        <v>122</v>
      </c>
      <c r="L140" s="548" t="s">
        <v>418</v>
      </c>
      <c r="M140" s="606" t="s">
        <v>594</v>
      </c>
      <c r="N140" s="201" t="s">
        <v>56</v>
      </c>
      <c r="O140" s="609">
        <v>7</v>
      </c>
      <c r="P140" s="550" t="s">
        <v>572</v>
      </c>
      <c r="Q140" s="546" t="s">
        <v>61</v>
      </c>
      <c r="R140" s="236"/>
      <c r="S140" s="227">
        <f>400000000-30000000+62523468</f>
        <v>432523468</v>
      </c>
      <c r="T140" s="230">
        <f t="shared" si="57"/>
        <v>432523468</v>
      </c>
      <c r="U140" s="686"/>
      <c r="V140" s="236"/>
      <c r="W140" s="230">
        <f>+S140</f>
        <v>432523468</v>
      </c>
      <c r="X140" s="590">
        <f>+V140+W140</f>
        <v>432523468</v>
      </c>
      <c r="Y140" s="592">
        <v>82</v>
      </c>
      <c r="Z140" s="230">
        <v>82</v>
      </c>
      <c r="AA140" s="616" t="s">
        <v>482</v>
      </c>
      <c r="AB140" s="768">
        <v>394035589</v>
      </c>
      <c r="AC140" s="554"/>
      <c r="AD140" s="655">
        <f>+AB140+AC140</f>
        <v>394035589</v>
      </c>
    </row>
    <row r="141" spans="1:31" ht="63.75" customHeight="1" x14ac:dyDescent="0.2">
      <c r="A141" s="906"/>
      <c r="B141" s="909"/>
      <c r="C141" s="913"/>
      <c r="D141" s="841"/>
      <c r="E141" s="841"/>
      <c r="F141" s="869"/>
      <c r="G141" s="653">
        <v>247</v>
      </c>
      <c r="H141" s="685"/>
      <c r="I141" s="201" t="s">
        <v>359</v>
      </c>
      <c r="J141" s="547">
        <v>80111621</v>
      </c>
      <c r="K141" s="548" t="s">
        <v>122</v>
      </c>
      <c r="L141" s="548" t="s">
        <v>418</v>
      </c>
      <c r="M141" s="606" t="s">
        <v>594</v>
      </c>
      <c r="N141" s="201" t="s">
        <v>63</v>
      </c>
      <c r="O141" s="609">
        <v>8</v>
      </c>
      <c r="P141" s="550" t="s">
        <v>572</v>
      </c>
      <c r="Q141" s="546" t="s">
        <v>61</v>
      </c>
      <c r="R141" s="236"/>
      <c r="S141" s="227">
        <v>36682979</v>
      </c>
      <c r="T141" s="230">
        <f t="shared" si="57"/>
        <v>36682979</v>
      </c>
      <c r="U141" s="686">
        <v>1</v>
      </c>
      <c r="V141" s="236"/>
      <c r="W141" s="230">
        <v>36682979</v>
      </c>
      <c r="X141" s="230">
        <f>+V141+W141</f>
        <v>36682979</v>
      </c>
      <c r="Y141" s="551">
        <v>42844</v>
      </c>
      <c r="Z141" s="664">
        <v>50</v>
      </c>
      <c r="AA141" s="616" t="s">
        <v>401</v>
      </c>
      <c r="AB141" s="768">
        <v>32920622</v>
      </c>
      <c r="AC141" s="554"/>
      <c r="AD141" s="655">
        <f>+AB141+AC141</f>
        <v>32920622</v>
      </c>
    </row>
    <row r="142" spans="1:31" ht="50.25" customHeight="1" x14ac:dyDescent="0.2">
      <c r="A142" s="906"/>
      <c r="B142" s="909"/>
      <c r="C142" s="913"/>
      <c r="D142" s="841"/>
      <c r="E142" s="841"/>
      <c r="F142" s="860"/>
      <c r="G142" s="653">
        <v>254</v>
      </c>
      <c r="H142" s="685"/>
      <c r="I142" s="201" t="s">
        <v>409</v>
      </c>
      <c r="J142" s="547">
        <v>80111621</v>
      </c>
      <c r="K142" s="548" t="s">
        <v>122</v>
      </c>
      <c r="L142" s="548" t="s">
        <v>418</v>
      </c>
      <c r="M142" s="606" t="s">
        <v>594</v>
      </c>
      <c r="N142" s="201" t="s">
        <v>63</v>
      </c>
      <c r="O142" s="609">
        <v>1</v>
      </c>
      <c r="P142" s="550" t="s">
        <v>572</v>
      </c>
      <c r="Q142" s="546" t="s">
        <v>61</v>
      </c>
      <c r="R142" s="236"/>
      <c r="S142" s="227">
        <v>30000000</v>
      </c>
      <c r="T142" s="230">
        <f t="shared" si="57"/>
        <v>30000000</v>
      </c>
      <c r="U142" s="686">
        <v>1</v>
      </c>
      <c r="V142" s="236"/>
      <c r="W142" s="230">
        <v>30000000</v>
      </c>
      <c r="X142" s="230">
        <f>+W142</f>
        <v>30000000</v>
      </c>
      <c r="Y142" s="551">
        <v>42851</v>
      </c>
      <c r="Z142" s="664">
        <v>60</v>
      </c>
      <c r="AA142" s="616" t="s">
        <v>423</v>
      </c>
      <c r="AB142" s="768">
        <v>30000000</v>
      </c>
      <c r="AC142" s="554"/>
      <c r="AD142" s="655">
        <f>+AB142+AC142</f>
        <v>30000000</v>
      </c>
    </row>
    <row r="143" spans="1:31" ht="14.25" customHeight="1" x14ac:dyDescent="0.25">
      <c r="A143" s="906"/>
      <c r="B143" s="909"/>
      <c r="C143" s="913"/>
      <c r="D143" s="841"/>
      <c r="E143" s="841"/>
      <c r="F143" s="827" t="s">
        <v>94</v>
      </c>
      <c r="G143" s="827"/>
      <c r="H143" s="827"/>
      <c r="I143" s="827"/>
      <c r="J143" s="827"/>
      <c r="K143" s="827"/>
      <c r="L143" s="827"/>
      <c r="M143" s="827"/>
      <c r="N143" s="827"/>
      <c r="O143" s="827"/>
      <c r="P143" s="827"/>
      <c r="Q143" s="795"/>
      <c r="R143" s="223">
        <f>SUM(R136:R142)</f>
        <v>0</v>
      </c>
      <c r="S143" s="223">
        <f>SUM(S136:S142)</f>
        <v>845891900</v>
      </c>
      <c r="T143" s="223">
        <f>SUM(T136:T142)</f>
        <v>845891900</v>
      </c>
      <c r="U143" s="223"/>
      <c r="V143" s="223">
        <f>SUM(V136:V142)</f>
        <v>0</v>
      </c>
      <c r="W143" s="223">
        <f>SUM(W136:W142)</f>
        <v>845891900</v>
      </c>
      <c r="X143" s="223">
        <f>SUM(X136:X142)</f>
        <v>845891900</v>
      </c>
      <c r="Y143" s="223"/>
      <c r="Z143" s="223"/>
      <c r="AA143" s="223"/>
      <c r="AB143" s="618">
        <f>SUM(AB136:AB142)</f>
        <v>689454792</v>
      </c>
      <c r="AC143" s="618">
        <f>SUM(AC136:AC142)</f>
        <v>0</v>
      </c>
      <c r="AD143" s="618">
        <f>SUM(AD136:AD142)</f>
        <v>689454792</v>
      </c>
      <c r="AE143" s="620"/>
    </row>
    <row r="144" spans="1:31" ht="32.25" customHeight="1" x14ac:dyDescent="0.25">
      <c r="A144" s="907"/>
      <c r="B144" s="911"/>
      <c r="C144" s="917"/>
      <c r="D144" s="841"/>
      <c r="E144" s="841"/>
      <c r="F144" s="836" t="s">
        <v>17</v>
      </c>
      <c r="G144" s="836"/>
      <c r="H144" s="836"/>
      <c r="I144" s="836"/>
      <c r="J144" s="836"/>
      <c r="K144" s="836"/>
      <c r="L144" s="836"/>
      <c r="M144" s="836"/>
      <c r="N144" s="836"/>
      <c r="O144" s="836"/>
      <c r="P144" s="836"/>
      <c r="Q144" s="799"/>
      <c r="R144" s="216">
        <f>+R123+R131+R133+R135+R143</f>
        <v>500000000</v>
      </c>
      <c r="S144" s="216">
        <f>+S123+S131+S133+S135+S143</f>
        <v>845891900</v>
      </c>
      <c r="T144" s="216">
        <f>+T123+T131+T133+T135+T143</f>
        <v>1345891900</v>
      </c>
      <c r="U144" s="216"/>
      <c r="V144" s="216">
        <f>+V123+V131+V133+V135+V143</f>
        <v>496155250</v>
      </c>
      <c r="W144" s="216">
        <f>+W123+W131+W133+W135+W143</f>
        <v>845891900</v>
      </c>
      <c r="X144" s="216">
        <f>+X123+X131+X133+X135+X143</f>
        <v>1342047150</v>
      </c>
      <c r="Y144" s="639"/>
      <c r="Z144" s="216"/>
      <c r="AA144" s="216"/>
      <c r="AB144" s="689">
        <f>+AB123+AB131+AB133+AB135+AB143</f>
        <v>689454792</v>
      </c>
      <c r="AC144" s="818">
        <f>+AC123+AC131+AC133+AC135+AC143</f>
        <v>430362871.5</v>
      </c>
      <c r="AD144" s="818">
        <f>+AB144+AC144</f>
        <v>1119817663.5</v>
      </c>
      <c r="AE144" s="555"/>
    </row>
    <row r="145" spans="1:32" ht="24.75" customHeight="1" x14ac:dyDescent="0.25">
      <c r="A145" s="835" t="s">
        <v>35</v>
      </c>
      <c r="B145" s="835"/>
      <c r="C145" s="835"/>
      <c r="D145" s="835"/>
      <c r="E145" s="835"/>
      <c r="F145" s="835"/>
      <c r="G145" s="835"/>
      <c r="H145" s="835"/>
      <c r="I145" s="835"/>
      <c r="J145" s="835"/>
      <c r="K145" s="835"/>
      <c r="L145" s="835"/>
      <c r="M145" s="835"/>
      <c r="N145" s="835"/>
      <c r="O145" s="835"/>
      <c r="P145" s="835"/>
      <c r="Q145" s="798"/>
      <c r="R145" s="237">
        <f>+R83+R102+R116+R144</f>
        <v>1436000000</v>
      </c>
      <c r="S145" s="237">
        <f>+S83+S102+S116+S144</f>
        <v>2095891900</v>
      </c>
      <c r="T145" s="237">
        <f>+T83+T102+T116+T144</f>
        <v>3531891900</v>
      </c>
      <c r="U145" s="237"/>
      <c r="V145" s="690">
        <f>+V83+V102+V116+V144</f>
        <v>1432155250</v>
      </c>
      <c r="W145" s="690">
        <f>+W83+W102+W116+W144</f>
        <v>2263362912</v>
      </c>
      <c r="X145" s="690">
        <f>+X83+X102+X116+X144</f>
        <v>3528047150</v>
      </c>
      <c r="Y145" s="691"/>
      <c r="Z145" s="237"/>
      <c r="AA145" s="237"/>
      <c r="AB145" s="642">
        <f>+AB83+AB102+AB116+AB144</f>
        <v>1550299436</v>
      </c>
      <c r="AC145" s="642">
        <f t="shared" ref="AC145:AD145" si="59">+AC83+AC102+AC116+AC144</f>
        <v>1099914605.5</v>
      </c>
      <c r="AD145" s="642">
        <f t="shared" si="59"/>
        <v>2650214041.5</v>
      </c>
      <c r="AE145" s="692"/>
      <c r="AF145" s="555"/>
    </row>
    <row r="146" spans="1:32" ht="28.5" customHeight="1" x14ac:dyDescent="0.2">
      <c r="A146" s="905" t="s">
        <v>18</v>
      </c>
      <c r="B146" s="905"/>
      <c r="C146" s="905"/>
      <c r="D146" s="905"/>
      <c r="E146" s="905"/>
      <c r="F146" s="905"/>
      <c r="G146" s="905"/>
      <c r="H146" s="905"/>
      <c r="I146" s="905"/>
      <c r="J146" s="905"/>
      <c r="K146" s="905"/>
      <c r="L146" s="905"/>
      <c r="M146" s="905"/>
      <c r="N146" s="905"/>
      <c r="O146" s="905"/>
      <c r="P146" s="905"/>
      <c r="Q146" s="808"/>
      <c r="R146" s="236">
        <f>+R80+R145</f>
        <v>2772000000</v>
      </c>
      <c r="S146" s="236">
        <f>+S80+S145</f>
        <v>2693891900</v>
      </c>
      <c r="T146" s="236">
        <f>+T80+T145</f>
        <v>5465891900</v>
      </c>
      <c r="U146" s="236"/>
      <c r="V146" s="236">
        <f>+V80+V145</f>
        <v>2760523210</v>
      </c>
      <c r="W146" s="236">
        <f>+W80+W145</f>
        <v>2861362912</v>
      </c>
      <c r="X146" s="236">
        <f>+X80+X145</f>
        <v>5454415110</v>
      </c>
      <c r="Y146" s="687"/>
      <c r="Z146" s="236"/>
      <c r="AA146" s="236"/>
      <c r="AB146" s="646"/>
      <c r="AC146" s="646"/>
      <c r="AD146" s="646"/>
      <c r="AE146" s="646"/>
      <c r="AF146" s="646"/>
    </row>
    <row r="147" spans="1:32" ht="20.25" customHeight="1" x14ac:dyDescent="0.25">
      <c r="A147" s="925" t="s">
        <v>14</v>
      </c>
      <c r="B147" s="925"/>
      <c r="C147" s="925"/>
      <c r="D147" s="925"/>
      <c r="E147" s="925" t="s">
        <v>171</v>
      </c>
      <c r="F147" s="925"/>
      <c r="G147" s="925"/>
      <c r="H147" s="925"/>
      <c r="I147" s="925"/>
      <c r="J147" s="925"/>
      <c r="K147" s="925"/>
      <c r="L147" s="925"/>
      <c r="M147" s="925"/>
      <c r="N147" s="925"/>
      <c r="O147" s="925"/>
      <c r="P147" s="925"/>
      <c r="Q147" s="925"/>
      <c r="R147" s="925"/>
      <c r="S147" s="925"/>
      <c r="T147" s="925"/>
      <c r="U147" s="693"/>
      <c r="V147" s="555"/>
      <c r="W147" s="555"/>
      <c r="X147" s="555"/>
      <c r="Y147" s="555"/>
      <c r="AD147" s="692"/>
    </row>
    <row r="148" spans="1:32" ht="24.75" customHeight="1" x14ac:dyDescent="0.2">
      <c r="A148" s="834" t="s">
        <v>175</v>
      </c>
      <c r="B148" s="834"/>
      <c r="C148" s="834"/>
      <c r="D148" s="834"/>
      <c r="E148" s="834" t="s">
        <v>172</v>
      </c>
      <c r="F148" s="834"/>
      <c r="G148" s="834"/>
      <c r="H148" s="834"/>
      <c r="I148" s="834"/>
      <c r="J148" s="834"/>
      <c r="K148" s="834"/>
      <c r="L148" s="834"/>
      <c r="M148" s="834"/>
      <c r="N148" s="834"/>
      <c r="O148" s="834"/>
      <c r="P148" s="834"/>
      <c r="Q148" s="834"/>
      <c r="R148" s="834"/>
      <c r="S148" s="834"/>
      <c r="T148" s="834"/>
      <c r="U148" s="694"/>
      <c r="W148" s="555"/>
      <c r="X148" s="555"/>
    </row>
    <row r="149" spans="1:32" ht="27.75" customHeight="1" x14ac:dyDescent="0.2">
      <c r="A149" s="834" t="s">
        <v>176</v>
      </c>
      <c r="B149" s="834"/>
      <c r="C149" s="834"/>
      <c r="D149" s="834"/>
      <c r="E149" s="834" t="s">
        <v>173</v>
      </c>
      <c r="F149" s="834"/>
      <c r="G149" s="834"/>
      <c r="H149" s="834"/>
      <c r="I149" s="834"/>
      <c r="J149" s="834"/>
      <c r="K149" s="834"/>
      <c r="L149" s="834"/>
      <c r="M149" s="834"/>
      <c r="N149" s="834"/>
      <c r="O149" s="834"/>
      <c r="P149" s="834"/>
      <c r="Q149" s="834"/>
      <c r="R149" s="834"/>
      <c r="S149" s="834"/>
      <c r="T149" s="834"/>
      <c r="U149" s="694"/>
    </row>
    <row r="150" spans="1:32" ht="30" customHeight="1" x14ac:dyDescent="0.2">
      <c r="A150" s="834" t="s">
        <v>177</v>
      </c>
      <c r="B150" s="834"/>
      <c r="C150" s="834"/>
      <c r="D150" s="834"/>
      <c r="E150" s="834" t="s">
        <v>174</v>
      </c>
      <c r="F150" s="834"/>
      <c r="G150" s="834"/>
      <c r="H150" s="834"/>
      <c r="I150" s="834"/>
      <c r="J150" s="834"/>
      <c r="K150" s="834"/>
      <c r="L150" s="834"/>
      <c r="M150" s="834"/>
      <c r="N150" s="834"/>
      <c r="O150" s="834"/>
      <c r="P150" s="834"/>
      <c r="Q150" s="834"/>
      <c r="R150" s="834"/>
      <c r="S150" s="834"/>
      <c r="T150" s="834"/>
      <c r="U150" s="695"/>
      <c r="V150" s="823"/>
      <c r="W150" s="824"/>
      <c r="X150" s="696"/>
      <c r="Y150" s="697"/>
      <c r="Z150" s="698"/>
      <c r="AA150" s="698"/>
      <c r="AB150" s="698"/>
      <c r="AC150" s="698"/>
      <c r="AD150" s="698"/>
    </row>
    <row r="151" spans="1:32" ht="42" customHeight="1" x14ac:dyDescent="0.2">
      <c r="A151" s="945" t="s">
        <v>155</v>
      </c>
      <c r="B151" s="832" t="s">
        <v>156</v>
      </c>
      <c r="C151" s="832" t="s">
        <v>157</v>
      </c>
      <c r="D151" s="832" t="s">
        <v>158</v>
      </c>
      <c r="E151" s="832" t="s">
        <v>159</v>
      </c>
      <c r="F151" s="832" t="s">
        <v>0</v>
      </c>
      <c r="G151" s="832" t="s">
        <v>183</v>
      </c>
      <c r="H151" s="832" t="s">
        <v>309</v>
      </c>
      <c r="I151" s="897" t="s">
        <v>6</v>
      </c>
      <c r="J151" s="897" t="s">
        <v>7</v>
      </c>
      <c r="K151" s="888" t="s">
        <v>8</v>
      </c>
      <c r="L151" s="699"/>
      <c r="M151" s="699"/>
      <c r="N151" s="899" t="s">
        <v>9</v>
      </c>
      <c r="O151" s="900"/>
      <c r="P151" s="901"/>
      <c r="Q151" s="700"/>
      <c r="R151" s="902" t="s">
        <v>1</v>
      </c>
      <c r="S151" s="893" t="s">
        <v>2</v>
      </c>
      <c r="T151" s="895" t="s">
        <v>3</v>
      </c>
      <c r="U151" s="828" t="s">
        <v>313</v>
      </c>
      <c r="V151" s="825" t="str">
        <f>+V14</f>
        <v>Seguimiento a 19 de diciembre de 2017</v>
      </c>
      <c r="W151" s="826"/>
      <c r="X151" s="935" t="s">
        <v>3</v>
      </c>
      <c r="Y151" s="847" t="s">
        <v>222</v>
      </c>
      <c r="Z151" s="701" t="s">
        <v>223</v>
      </c>
      <c r="AA151" s="701" t="s">
        <v>224</v>
      </c>
      <c r="AB151" s="701"/>
      <c r="AC151" s="701"/>
      <c r="AD151" s="701"/>
    </row>
    <row r="152" spans="1:32" ht="0.75" customHeight="1" x14ac:dyDescent="0.2">
      <c r="A152" s="946"/>
      <c r="B152" s="833"/>
      <c r="C152" s="833"/>
      <c r="D152" s="833"/>
      <c r="E152" s="833"/>
      <c r="F152" s="833"/>
      <c r="G152" s="833"/>
      <c r="H152" s="833"/>
      <c r="I152" s="898"/>
      <c r="J152" s="898"/>
      <c r="K152" s="889"/>
      <c r="L152" s="702" t="s">
        <v>288</v>
      </c>
      <c r="M152" s="702"/>
      <c r="N152" s="807" t="s">
        <v>10</v>
      </c>
      <c r="O152" s="807" t="s">
        <v>11</v>
      </c>
      <c r="P152" s="807" t="s">
        <v>12</v>
      </c>
      <c r="Q152" s="703"/>
      <c r="R152" s="903"/>
      <c r="S152" s="894"/>
      <c r="T152" s="896"/>
      <c r="U152" s="829"/>
      <c r="V152" s="704" t="s">
        <v>227</v>
      </c>
      <c r="W152" s="809" t="s">
        <v>228</v>
      </c>
      <c r="X152" s="936"/>
      <c r="Y152" s="937"/>
      <c r="Z152" s="705"/>
      <c r="AA152" s="705"/>
      <c r="AB152" s="705"/>
      <c r="AC152" s="705"/>
      <c r="AD152" s="705"/>
    </row>
    <row r="153" spans="1:32" ht="76.5" customHeight="1" x14ac:dyDescent="0.2">
      <c r="A153" s="944" t="str">
        <f>+E150</f>
        <v>184 Fortalecimiento de la gestión educativa institucional</v>
      </c>
      <c r="B153" s="908" t="s">
        <v>149</v>
      </c>
      <c r="C153" s="929" t="s">
        <v>233</v>
      </c>
      <c r="D153" s="928" t="s">
        <v>153</v>
      </c>
      <c r="E153" s="927" t="s">
        <v>20</v>
      </c>
      <c r="F153" s="957" t="s">
        <v>154</v>
      </c>
      <c r="G153" s="706">
        <v>180</v>
      </c>
      <c r="H153" s="706"/>
      <c r="I153" s="226" t="s">
        <v>269</v>
      </c>
      <c r="J153" s="547">
        <v>80111600</v>
      </c>
      <c r="K153" s="707" t="s">
        <v>182</v>
      </c>
      <c r="L153" s="707" t="s">
        <v>182</v>
      </c>
      <c r="M153" s="707" t="s">
        <v>611</v>
      </c>
      <c r="N153" s="708" t="s">
        <v>87</v>
      </c>
      <c r="O153" s="709">
        <v>10</v>
      </c>
      <c r="P153" s="550" t="s">
        <v>572</v>
      </c>
      <c r="Q153" s="710" t="s">
        <v>61</v>
      </c>
      <c r="R153" s="711">
        <f>47159790-2159790-750000</f>
        <v>44250000</v>
      </c>
      <c r="S153" s="712"/>
      <c r="T153" s="712">
        <f>SUM(R153:S153)</f>
        <v>44250000</v>
      </c>
      <c r="U153" s="713">
        <v>1</v>
      </c>
      <c r="V153" s="714">
        <f>+R153</f>
        <v>44250000</v>
      </c>
      <c r="W153" s="715"/>
      <c r="X153" s="715">
        <f t="shared" ref="X153:X159" si="60">+V153+W153</f>
        <v>44250000</v>
      </c>
      <c r="Y153" s="716">
        <v>42802</v>
      </c>
      <c r="Z153" s="713">
        <v>29</v>
      </c>
      <c r="AA153" s="717" t="s">
        <v>284</v>
      </c>
      <c r="AB153" s="717"/>
      <c r="AC153" s="717"/>
      <c r="AD153" s="717"/>
    </row>
    <row r="154" spans="1:32" ht="84" customHeight="1" x14ac:dyDescent="0.2">
      <c r="A154" s="944"/>
      <c r="B154" s="909"/>
      <c r="C154" s="929"/>
      <c r="D154" s="928"/>
      <c r="E154" s="927"/>
      <c r="F154" s="958"/>
      <c r="G154" s="706">
        <v>181</v>
      </c>
      <c r="H154" s="706"/>
      <c r="I154" s="226" t="s">
        <v>270</v>
      </c>
      <c r="J154" s="547">
        <v>80111600</v>
      </c>
      <c r="K154" s="707" t="s">
        <v>182</v>
      </c>
      <c r="L154" s="707" t="s">
        <v>182</v>
      </c>
      <c r="M154" s="707" t="s">
        <v>611</v>
      </c>
      <c r="N154" s="718" t="s">
        <v>87</v>
      </c>
      <c r="O154" s="719">
        <v>10</v>
      </c>
      <c r="P154" s="550" t="s">
        <v>572</v>
      </c>
      <c r="Q154" s="710" t="s">
        <v>61</v>
      </c>
      <c r="R154" s="711">
        <v>43200000</v>
      </c>
      <c r="S154" s="712"/>
      <c r="T154" s="712">
        <f t="shared" ref="T154:T163" si="61">SUM(R154:S154)</f>
        <v>43200000</v>
      </c>
      <c r="U154" s="713">
        <v>1</v>
      </c>
      <c r="V154" s="714">
        <v>43200000</v>
      </c>
      <c r="W154" s="715"/>
      <c r="X154" s="715">
        <f t="shared" si="60"/>
        <v>43200000</v>
      </c>
      <c r="Y154" s="716">
        <v>42808</v>
      </c>
      <c r="Z154" s="713">
        <v>36</v>
      </c>
      <c r="AA154" s="717" t="s">
        <v>316</v>
      </c>
      <c r="AB154" s="717"/>
      <c r="AC154" s="717"/>
      <c r="AD154" s="717"/>
    </row>
    <row r="155" spans="1:32" ht="90.75" customHeight="1" x14ac:dyDescent="0.2">
      <c r="A155" s="944"/>
      <c r="B155" s="909"/>
      <c r="C155" s="929"/>
      <c r="D155" s="928"/>
      <c r="E155" s="927"/>
      <c r="F155" s="958"/>
      <c r="G155" s="720">
        <v>186</v>
      </c>
      <c r="H155" s="720"/>
      <c r="I155" s="226" t="s">
        <v>283</v>
      </c>
      <c r="J155" s="547">
        <v>80111600</v>
      </c>
      <c r="K155" s="707" t="s">
        <v>182</v>
      </c>
      <c r="L155" s="707" t="s">
        <v>182</v>
      </c>
      <c r="M155" s="707" t="s">
        <v>611</v>
      </c>
      <c r="N155" s="718" t="s">
        <v>87</v>
      </c>
      <c r="O155" s="719">
        <v>10</v>
      </c>
      <c r="P155" s="550" t="s">
        <v>572</v>
      </c>
      <c r="Q155" s="710" t="s">
        <v>61</v>
      </c>
      <c r="R155" s="711">
        <v>37601667</v>
      </c>
      <c r="S155" s="712"/>
      <c r="T155" s="712">
        <f t="shared" si="61"/>
        <v>37601667</v>
      </c>
      <c r="U155" s="713">
        <v>1</v>
      </c>
      <c r="V155" s="714">
        <v>37601667</v>
      </c>
      <c r="W155" s="715"/>
      <c r="X155" s="715">
        <f t="shared" si="60"/>
        <v>37601667</v>
      </c>
      <c r="Y155" s="716">
        <v>42803</v>
      </c>
      <c r="Z155" s="713">
        <v>31</v>
      </c>
      <c r="AA155" s="717" t="s">
        <v>287</v>
      </c>
      <c r="AB155" s="717"/>
      <c r="AC155" s="717"/>
      <c r="AD155" s="717"/>
    </row>
    <row r="156" spans="1:32" ht="64.5" customHeight="1" x14ac:dyDescent="0.2">
      <c r="A156" s="944"/>
      <c r="B156" s="909"/>
      <c r="C156" s="929"/>
      <c r="D156" s="928"/>
      <c r="E156" s="927"/>
      <c r="F156" s="958"/>
      <c r="G156" s="720">
        <v>108</v>
      </c>
      <c r="H156" s="720"/>
      <c r="I156" s="226" t="s">
        <v>101</v>
      </c>
      <c r="J156" s="547">
        <v>80111600</v>
      </c>
      <c r="K156" s="707" t="s">
        <v>96</v>
      </c>
      <c r="L156" s="707" t="s">
        <v>311</v>
      </c>
      <c r="M156" s="707" t="s">
        <v>606</v>
      </c>
      <c r="N156" s="708" t="s">
        <v>87</v>
      </c>
      <c r="O156" s="709">
        <v>10</v>
      </c>
      <c r="P156" s="550" t="s">
        <v>572</v>
      </c>
      <c r="Q156" s="710" t="s">
        <v>61</v>
      </c>
      <c r="R156" s="711">
        <v>70324410</v>
      </c>
      <c r="S156" s="712"/>
      <c r="T156" s="712">
        <f t="shared" si="61"/>
        <v>70324410</v>
      </c>
      <c r="U156" s="713">
        <v>1</v>
      </c>
      <c r="V156" s="714">
        <v>70324410</v>
      </c>
      <c r="W156" s="715"/>
      <c r="X156" s="715">
        <f t="shared" si="60"/>
        <v>70324410</v>
      </c>
      <c r="Y156" s="716">
        <v>42793</v>
      </c>
      <c r="Z156" s="713">
        <v>7</v>
      </c>
      <c r="AA156" s="717" t="s">
        <v>278</v>
      </c>
      <c r="AB156" s="717"/>
      <c r="AC156" s="717"/>
      <c r="AD156" s="717"/>
    </row>
    <row r="157" spans="1:32" ht="60.75" customHeight="1" x14ac:dyDescent="0.2">
      <c r="A157" s="944"/>
      <c r="B157" s="909"/>
      <c r="C157" s="929"/>
      <c r="D157" s="928"/>
      <c r="E157" s="927"/>
      <c r="F157" s="958"/>
      <c r="G157" s="720">
        <v>109</v>
      </c>
      <c r="H157" s="720"/>
      <c r="I157" s="226" t="s">
        <v>46</v>
      </c>
      <c r="J157" s="547">
        <v>80111600</v>
      </c>
      <c r="K157" s="707" t="s">
        <v>96</v>
      </c>
      <c r="L157" s="707" t="s">
        <v>311</v>
      </c>
      <c r="M157" s="707" t="s">
        <v>612</v>
      </c>
      <c r="N157" s="708" t="s">
        <v>51</v>
      </c>
      <c r="O157" s="709">
        <v>10</v>
      </c>
      <c r="P157" s="550" t="s">
        <v>572</v>
      </c>
      <c r="Q157" s="710" t="s">
        <v>61</v>
      </c>
      <c r="R157" s="711">
        <v>31500000</v>
      </c>
      <c r="S157" s="712"/>
      <c r="T157" s="712">
        <f t="shared" si="61"/>
        <v>31500000</v>
      </c>
      <c r="U157" s="713">
        <v>1</v>
      </c>
      <c r="V157" s="714">
        <v>31500000</v>
      </c>
      <c r="W157" s="715"/>
      <c r="X157" s="715">
        <f t="shared" si="60"/>
        <v>31500000</v>
      </c>
      <c r="Y157" s="716">
        <v>42782</v>
      </c>
      <c r="Z157" s="713">
        <v>6</v>
      </c>
      <c r="AA157" s="717" t="s">
        <v>279</v>
      </c>
      <c r="AB157" s="717"/>
      <c r="AC157" s="717"/>
      <c r="AD157" s="717"/>
    </row>
    <row r="158" spans="1:32" ht="108" customHeight="1" x14ac:dyDescent="0.2">
      <c r="A158" s="944"/>
      <c r="B158" s="909"/>
      <c r="C158" s="929"/>
      <c r="D158" s="928"/>
      <c r="E158" s="927"/>
      <c r="F158" s="958"/>
      <c r="G158" s="720">
        <v>189</v>
      </c>
      <c r="H158" s="721"/>
      <c r="I158" s="226" t="s">
        <v>317</v>
      </c>
      <c r="J158" s="547">
        <v>80111601</v>
      </c>
      <c r="K158" s="707" t="s">
        <v>182</v>
      </c>
      <c r="L158" s="707" t="s">
        <v>182</v>
      </c>
      <c r="M158" s="707" t="s">
        <v>611</v>
      </c>
      <c r="N158" s="722" t="s">
        <v>87</v>
      </c>
      <c r="O158" s="709">
        <v>2</v>
      </c>
      <c r="P158" s="550" t="s">
        <v>572</v>
      </c>
      <c r="Q158" s="710" t="s">
        <v>61</v>
      </c>
      <c r="R158" s="711">
        <v>6000000</v>
      </c>
      <c r="S158" s="712"/>
      <c r="T158" s="712">
        <f>+R158+S158</f>
        <v>6000000</v>
      </c>
      <c r="U158" s="713">
        <v>1</v>
      </c>
      <c r="V158" s="714">
        <v>6000000</v>
      </c>
      <c r="W158" s="712"/>
      <c r="X158" s="712">
        <f t="shared" si="60"/>
        <v>6000000</v>
      </c>
      <c r="Y158" s="716">
        <v>42822</v>
      </c>
      <c r="Z158" s="723">
        <v>41</v>
      </c>
      <c r="AA158" s="724" t="s">
        <v>328</v>
      </c>
      <c r="AB158" s="724"/>
      <c r="AC158" s="724"/>
      <c r="AD158" s="724"/>
    </row>
    <row r="159" spans="1:32" ht="59.25" customHeight="1" x14ac:dyDescent="0.2">
      <c r="A159" s="944"/>
      <c r="B159" s="909"/>
      <c r="C159" s="929"/>
      <c r="D159" s="928"/>
      <c r="E159" s="927"/>
      <c r="F159" s="958"/>
      <c r="G159" s="596">
        <v>273</v>
      </c>
      <c r="H159" s="720"/>
      <c r="I159" s="226" t="s">
        <v>706</v>
      </c>
      <c r="J159" s="547" t="s">
        <v>134</v>
      </c>
      <c r="K159" s="707" t="s">
        <v>182</v>
      </c>
      <c r="L159" s="707" t="s">
        <v>182</v>
      </c>
      <c r="M159" s="707" t="s">
        <v>611</v>
      </c>
      <c r="N159" s="708" t="s">
        <v>58</v>
      </c>
      <c r="O159" s="709">
        <v>2</v>
      </c>
      <c r="P159" s="579" t="s">
        <v>521</v>
      </c>
      <c r="Q159" s="579" t="s">
        <v>521</v>
      </c>
      <c r="R159" s="211">
        <f>247386000+4087803+568920+1050000+1315890+7912624</f>
        <v>262321237</v>
      </c>
      <c r="S159" s="725">
        <f>15637000-5412537</f>
        <v>10224463</v>
      </c>
      <c r="T159" s="712">
        <f>SUM(R159:S159)</f>
        <v>272545700</v>
      </c>
      <c r="U159" s="713"/>
      <c r="V159" s="208">
        <v>262321237</v>
      </c>
      <c r="W159" s="726">
        <v>10224463</v>
      </c>
      <c r="X159" s="715">
        <f t="shared" si="60"/>
        <v>272545700</v>
      </c>
      <c r="Y159" s="644">
        <v>42977</v>
      </c>
      <c r="Z159" s="727">
        <v>110</v>
      </c>
      <c r="AA159" s="717" t="s">
        <v>698</v>
      </c>
      <c r="AB159" s="717"/>
      <c r="AC159" s="717"/>
      <c r="AD159" s="717"/>
    </row>
    <row r="160" spans="1:32" ht="33" customHeight="1" x14ac:dyDescent="0.2">
      <c r="A160" s="944"/>
      <c r="B160" s="909"/>
      <c r="C160" s="929"/>
      <c r="D160" s="928"/>
      <c r="E160" s="927"/>
      <c r="F160" s="958"/>
      <c r="G160" s="596">
        <v>318</v>
      </c>
      <c r="H160" s="720"/>
      <c r="I160" s="226" t="s">
        <v>728</v>
      </c>
      <c r="J160" s="547">
        <v>40101701</v>
      </c>
      <c r="K160" s="707" t="s">
        <v>182</v>
      </c>
      <c r="L160" s="707"/>
      <c r="M160" s="707" t="s">
        <v>611</v>
      </c>
      <c r="N160" s="708" t="s">
        <v>488</v>
      </c>
      <c r="O160" s="709">
        <v>12</v>
      </c>
      <c r="P160" s="579" t="s">
        <v>208</v>
      </c>
      <c r="Q160" s="579"/>
      <c r="R160" s="211"/>
      <c r="S160" s="725">
        <v>4549090</v>
      </c>
      <c r="T160" s="712">
        <f>+R160+S160</f>
        <v>4549090</v>
      </c>
      <c r="U160" s="713"/>
      <c r="V160" s="208"/>
      <c r="W160" s="726"/>
      <c r="X160" s="715"/>
      <c r="Y160" s="644"/>
      <c r="Z160" s="727"/>
      <c r="AA160" s="717"/>
      <c r="AB160" s="717"/>
      <c r="AC160" s="717"/>
      <c r="AD160" s="717"/>
    </row>
    <row r="161" spans="1:31" ht="94.5" customHeight="1" x14ac:dyDescent="0.2">
      <c r="A161" s="944"/>
      <c r="B161" s="909"/>
      <c r="C161" s="929"/>
      <c r="D161" s="928"/>
      <c r="E161" s="927"/>
      <c r="F161" s="958"/>
      <c r="G161" s="720">
        <v>113</v>
      </c>
      <c r="H161" s="720"/>
      <c r="I161" s="226" t="s">
        <v>47</v>
      </c>
      <c r="J161" s="578">
        <v>80111600</v>
      </c>
      <c r="K161" s="707" t="s">
        <v>182</v>
      </c>
      <c r="L161" s="707" t="s">
        <v>182</v>
      </c>
      <c r="M161" s="707" t="s">
        <v>611</v>
      </c>
      <c r="N161" s="708" t="s">
        <v>87</v>
      </c>
      <c r="O161" s="709">
        <v>10</v>
      </c>
      <c r="P161" s="550" t="s">
        <v>572</v>
      </c>
      <c r="Q161" s="710" t="s">
        <v>61</v>
      </c>
      <c r="R161" s="728">
        <v>33566280</v>
      </c>
      <c r="S161" s="725"/>
      <c r="T161" s="712">
        <f t="shared" si="61"/>
        <v>33566280</v>
      </c>
      <c r="U161" s="713">
        <v>1</v>
      </c>
      <c r="V161" s="729">
        <v>33566280</v>
      </c>
      <c r="W161" s="726"/>
      <c r="X161" s="715">
        <f>+V161+W161</f>
        <v>33566280</v>
      </c>
      <c r="Y161" s="716">
        <v>42800</v>
      </c>
      <c r="Z161" s="727">
        <v>26</v>
      </c>
      <c r="AA161" s="717" t="s">
        <v>276</v>
      </c>
      <c r="AB161" s="717"/>
      <c r="AC161" s="717"/>
      <c r="AD161" s="717"/>
    </row>
    <row r="162" spans="1:31" ht="48" customHeight="1" x14ac:dyDescent="0.2">
      <c r="A162" s="944"/>
      <c r="B162" s="909"/>
      <c r="C162" s="929"/>
      <c r="D162" s="928"/>
      <c r="E162" s="927"/>
      <c r="F162" s="958"/>
      <c r="G162" s="720">
        <v>114</v>
      </c>
      <c r="H162" s="720"/>
      <c r="I162" s="226" t="s">
        <v>120</v>
      </c>
      <c r="J162" s="578">
        <v>80111600</v>
      </c>
      <c r="K162" s="730" t="s">
        <v>95</v>
      </c>
      <c r="L162" s="730" t="s">
        <v>95</v>
      </c>
      <c r="M162" s="707" t="s">
        <v>611</v>
      </c>
      <c r="N162" s="708" t="s">
        <v>87</v>
      </c>
      <c r="O162" s="709">
        <v>9</v>
      </c>
      <c r="P162" s="550" t="s">
        <v>572</v>
      </c>
      <c r="Q162" s="710" t="s">
        <v>61</v>
      </c>
      <c r="R162" s="211">
        <v>19800000</v>
      </c>
      <c r="S162" s="725"/>
      <c r="T162" s="712">
        <f t="shared" si="61"/>
        <v>19800000</v>
      </c>
      <c r="U162" s="713">
        <v>1</v>
      </c>
      <c r="V162" s="208">
        <v>19800000</v>
      </c>
      <c r="W162" s="726"/>
      <c r="X162" s="715">
        <f>+V162+W162</f>
        <v>19800000</v>
      </c>
      <c r="Y162" s="716">
        <v>42807</v>
      </c>
      <c r="Z162" s="727">
        <v>34</v>
      </c>
      <c r="AA162" s="717" t="s">
        <v>315</v>
      </c>
      <c r="AB162" s="717"/>
      <c r="AC162" s="717"/>
      <c r="AD162" s="717"/>
    </row>
    <row r="163" spans="1:31" ht="85.5" customHeight="1" x14ac:dyDescent="0.2">
      <c r="A163" s="944"/>
      <c r="B163" s="909"/>
      <c r="C163" s="929"/>
      <c r="D163" s="928"/>
      <c r="E163" s="927"/>
      <c r="F163" s="958"/>
      <c r="G163" s="720">
        <v>182</v>
      </c>
      <c r="H163" s="720"/>
      <c r="I163" s="226" t="s">
        <v>271</v>
      </c>
      <c r="J163" s="578">
        <v>80111600</v>
      </c>
      <c r="K163" s="707" t="s">
        <v>182</v>
      </c>
      <c r="L163" s="707" t="s">
        <v>182</v>
      </c>
      <c r="M163" s="707" t="s">
        <v>611</v>
      </c>
      <c r="N163" s="708" t="s">
        <v>87</v>
      </c>
      <c r="O163" s="709">
        <v>10</v>
      </c>
      <c r="P163" s="550" t="s">
        <v>572</v>
      </c>
      <c r="Q163" s="710" t="s">
        <v>61</v>
      </c>
      <c r="R163" s="211">
        <f>48270000+1930800+3346720</f>
        <v>53547520</v>
      </c>
      <c r="S163" s="725"/>
      <c r="T163" s="712">
        <f t="shared" si="61"/>
        <v>53547520</v>
      </c>
      <c r="U163" s="713">
        <v>1</v>
      </c>
      <c r="V163" s="208">
        <v>53547520</v>
      </c>
      <c r="W163" s="726"/>
      <c r="X163" s="715">
        <f>+V163+W163</f>
        <v>53547520</v>
      </c>
      <c r="Y163" s="716">
        <v>42801</v>
      </c>
      <c r="Z163" s="727">
        <v>28</v>
      </c>
      <c r="AA163" s="731" t="s">
        <v>277</v>
      </c>
      <c r="AB163" s="731"/>
      <c r="AC163" s="731"/>
      <c r="AD163" s="731"/>
    </row>
    <row r="164" spans="1:31" ht="15" customHeight="1" x14ac:dyDescent="0.2">
      <c r="A164" s="944"/>
      <c r="B164" s="911"/>
      <c r="C164" s="929"/>
      <c r="D164" s="928"/>
      <c r="E164" s="927"/>
      <c r="F164" s="732"/>
      <c r="G164" s="932" t="s">
        <v>94</v>
      </c>
      <c r="H164" s="933"/>
      <c r="I164" s="933"/>
      <c r="J164" s="933"/>
      <c r="K164" s="933"/>
      <c r="L164" s="933"/>
      <c r="M164" s="933"/>
      <c r="N164" s="933"/>
      <c r="O164" s="933"/>
      <c r="P164" s="934"/>
      <c r="Q164" s="733"/>
      <c r="R164" s="734">
        <f>SUM(R153:R163)</f>
        <v>602111114</v>
      </c>
      <c r="S164" s="734">
        <f>SUM(S153:S163)</f>
        <v>14773553</v>
      </c>
      <c r="T164" s="734">
        <f>SUM(T153:T163)</f>
        <v>616884667</v>
      </c>
      <c r="U164" s="647"/>
      <c r="V164" s="734">
        <f>SUM(V153:V163)</f>
        <v>602111114</v>
      </c>
      <c r="W164" s="734">
        <f>SUM(W153:W163)</f>
        <v>10224463</v>
      </c>
      <c r="X164" s="734">
        <f>SUM(X153:X163)</f>
        <v>612335577</v>
      </c>
      <c r="Y164" s="735"/>
      <c r="Z164" s="734"/>
      <c r="AA164" s="734"/>
      <c r="AB164" s="734"/>
      <c r="AC164" s="734">
        <v>524393279</v>
      </c>
      <c r="AD164" s="734">
        <f>+AB164+AC164</f>
        <v>524393279</v>
      </c>
    </row>
    <row r="165" spans="1:31" ht="1.5" customHeight="1" x14ac:dyDescent="0.2">
      <c r="A165" s="927" t="str">
        <f>+A153</f>
        <v>184 Fortalecimiento de la gestión educativa institucional</v>
      </c>
      <c r="B165" s="927" t="str">
        <f>+B153</f>
        <v>Codido 419
Sostener en el 100% la implementación del Sistema Integrado de Gestión</v>
      </c>
      <c r="C165" s="927" t="str">
        <f>+C153</f>
        <v>Sostenibilidad del   Sistema Integrado de Gestión</v>
      </c>
      <c r="D165" s="927" t="str">
        <f>+D153</f>
        <v>Sostener 100% la implementación del Sistema Integrado de Gestión</v>
      </c>
      <c r="E165" s="927" t="str">
        <f>+E153</f>
        <v>Sostenibilidad del Sistema Integrado de Gestión</v>
      </c>
      <c r="F165" s="736" t="s">
        <v>107</v>
      </c>
      <c r="G165" s="706">
        <v>116</v>
      </c>
      <c r="H165" s="706"/>
      <c r="I165" s="226" t="s">
        <v>48</v>
      </c>
      <c r="J165" s="547">
        <v>80111600</v>
      </c>
      <c r="K165" s="737" t="s">
        <v>95</v>
      </c>
      <c r="L165" s="737"/>
      <c r="M165" s="737"/>
      <c r="N165" s="718" t="s">
        <v>87</v>
      </c>
      <c r="O165" s="719">
        <v>11</v>
      </c>
      <c r="P165" s="710" t="s">
        <v>61</v>
      </c>
      <c r="Q165" s="710" t="s">
        <v>61</v>
      </c>
      <c r="R165" s="270">
        <f>55200000-15600000-39600000</f>
        <v>0</v>
      </c>
      <c r="S165" s="738"/>
      <c r="T165" s="726">
        <f>SUM(R165:S165)</f>
        <v>0</v>
      </c>
      <c r="U165" s="727"/>
      <c r="V165" s="739"/>
      <c r="W165" s="738"/>
      <c r="X165" s="726"/>
      <c r="Y165" s="740"/>
      <c r="Z165" s="738"/>
      <c r="AA165" s="726"/>
      <c r="AB165" s="555"/>
    </row>
    <row r="166" spans="1:31" ht="45" customHeight="1" x14ac:dyDescent="0.2">
      <c r="A166" s="927"/>
      <c r="B166" s="927"/>
      <c r="C166" s="927"/>
      <c r="D166" s="927"/>
      <c r="E166" s="927"/>
      <c r="F166" s="955" t="s">
        <v>107</v>
      </c>
      <c r="G166" s="706">
        <v>185</v>
      </c>
      <c r="H166" s="706"/>
      <c r="I166" s="226" t="s">
        <v>282</v>
      </c>
      <c r="J166" s="547">
        <v>80111600</v>
      </c>
      <c r="K166" s="737" t="s">
        <v>95</v>
      </c>
      <c r="L166" s="737" t="s">
        <v>95</v>
      </c>
      <c r="M166" s="741" t="s">
        <v>587</v>
      </c>
      <c r="N166" s="718" t="s">
        <v>87</v>
      </c>
      <c r="O166" s="719">
        <v>11</v>
      </c>
      <c r="P166" s="550" t="s">
        <v>572</v>
      </c>
      <c r="Q166" s="710" t="s">
        <v>61</v>
      </c>
      <c r="R166" s="739">
        <v>39600000</v>
      </c>
      <c r="S166" s="742"/>
      <c r="T166" s="725">
        <f t="shared" ref="T166:T170" si="62">+R166+S166</f>
        <v>39600000</v>
      </c>
      <c r="U166" s="727">
        <v>1</v>
      </c>
      <c r="V166" s="739">
        <f>+R166</f>
        <v>39600000</v>
      </c>
      <c r="W166" s="739">
        <f t="shared" ref="W166:X166" si="63">+S166</f>
        <v>0</v>
      </c>
      <c r="X166" s="739">
        <f t="shared" si="63"/>
        <v>39600000</v>
      </c>
      <c r="Y166" s="716">
        <v>42808</v>
      </c>
      <c r="Z166" s="727">
        <v>35</v>
      </c>
      <c r="AA166" s="738" t="s">
        <v>314</v>
      </c>
      <c r="AB166" s="738"/>
      <c r="AC166" s="738"/>
      <c r="AD166" s="738"/>
    </row>
    <row r="167" spans="1:31" ht="59.25" customHeight="1" x14ac:dyDescent="0.2">
      <c r="A167" s="930"/>
      <c r="B167" s="930"/>
      <c r="C167" s="930"/>
      <c r="D167" s="930"/>
      <c r="E167" s="930"/>
      <c r="F167" s="956"/>
      <c r="G167" s="720">
        <v>259</v>
      </c>
      <c r="H167" s="720"/>
      <c r="I167" s="226" t="s">
        <v>436</v>
      </c>
      <c r="J167" s="547">
        <v>80111600</v>
      </c>
      <c r="K167" s="743" t="s">
        <v>437</v>
      </c>
      <c r="L167" s="743" t="s">
        <v>83</v>
      </c>
      <c r="M167" s="741" t="s">
        <v>608</v>
      </c>
      <c r="N167" s="744" t="s">
        <v>56</v>
      </c>
      <c r="O167" s="744">
        <v>3</v>
      </c>
      <c r="P167" s="550" t="s">
        <v>572</v>
      </c>
      <c r="Q167" s="710" t="s">
        <v>61</v>
      </c>
      <c r="R167" s="739">
        <v>10710000</v>
      </c>
      <c r="S167" s="742"/>
      <c r="T167" s="725">
        <f t="shared" si="62"/>
        <v>10710000</v>
      </c>
      <c r="U167" s="727"/>
      <c r="V167" s="739">
        <v>10710000</v>
      </c>
      <c r="W167" s="738"/>
      <c r="X167" s="726">
        <f>+V167+W167</f>
        <v>10710000</v>
      </c>
      <c r="Y167" s="716">
        <v>42866</v>
      </c>
      <c r="Z167" s="738">
        <v>111</v>
      </c>
      <c r="AA167" s="738" t="s">
        <v>466</v>
      </c>
      <c r="AB167" s="738"/>
      <c r="AC167" s="738"/>
      <c r="AD167" s="738"/>
      <c r="AE167" s="555"/>
    </row>
    <row r="168" spans="1:31" ht="48.75" customHeight="1" x14ac:dyDescent="0.2">
      <c r="A168" s="927"/>
      <c r="B168" s="927"/>
      <c r="C168" s="927"/>
      <c r="D168" s="927"/>
      <c r="E168" s="927"/>
      <c r="F168" s="956"/>
      <c r="G168" s="706">
        <v>260</v>
      </c>
      <c r="H168" s="706"/>
      <c r="I168" s="226" t="s">
        <v>433</v>
      </c>
      <c r="J168" s="547">
        <v>80111600</v>
      </c>
      <c r="K168" s="737" t="s">
        <v>95</v>
      </c>
      <c r="L168" s="737" t="s">
        <v>95</v>
      </c>
      <c r="M168" s="737" t="s">
        <v>607</v>
      </c>
      <c r="N168" s="718" t="s">
        <v>56</v>
      </c>
      <c r="O168" s="719">
        <v>6</v>
      </c>
      <c r="P168" s="550" t="s">
        <v>572</v>
      </c>
      <c r="Q168" s="710" t="s">
        <v>61</v>
      </c>
      <c r="R168" s="739">
        <v>20400000</v>
      </c>
      <c r="S168" s="742"/>
      <c r="T168" s="725">
        <f t="shared" si="62"/>
        <v>20400000</v>
      </c>
      <c r="U168" s="727">
        <v>1</v>
      </c>
      <c r="V168" s="739">
        <v>20400000</v>
      </c>
      <c r="W168" s="738"/>
      <c r="X168" s="726">
        <f>+V168+W168</f>
        <v>20400000</v>
      </c>
      <c r="Y168" s="740">
        <v>42885</v>
      </c>
      <c r="Z168" s="738">
        <v>90</v>
      </c>
      <c r="AA168" s="738" t="s">
        <v>522</v>
      </c>
      <c r="AB168" s="738"/>
      <c r="AC168" s="738"/>
      <c r="AD168" s="738"/>
      <c r="AE168" s="555"/>
    </row>
    <row r="169" spans="1:31" ht="69.75" customHeight="1" x14ac:dyDescent="0.2">
      <c r="A169" s="927"/>
      <c r="B169" s="927"/>
      <c r="C169" s="927"/>
      <c r="D169" s="927"/>
      <c r="E169" s="927"/>
      <c r="F169" s="956"/>
      <c r="G169" s="745">
        <v>296</v>
      </c>
      <c r="H169" s="720"/>
      <c r="I169" s="226" t="s">
        <v>435</v>
      </c>
      <c r="J169" s="547">
        <v>80111600</v>
      </c>
      <c r="K169" s="737" t="s">
        <v>95</v>
      </c>
      <c r="L169" s="737" t="s">
        <v>95</v>
      </c>
      <c r="M169" s="737" t="s">
        <v>607</v>
      </c>
      <c r="N169" s="718" t="s">
        <v>325</v>
      </c>
      <c r="O169" s="719">
        <v>1</v>
      </c>
      <c r="P169" s="710" t="s">
        <v>208</v>
      </c>
      <c r="Q169" s="710" t="s">
        <v>52</v>
      </c>
      <c r="R169" s="739">
        <v>1695000</v>
      </c>
      <c r="S169" s="742"/>
      <c r="T169" s="725">
        <f t="shared" si="62"/>
        <v>1695000</v>
      </c>
      <c r="U169" s="727"/>
      <c r="V169" s="739">
        <v>1695000</v>
      </c>
      <c r="W169" s="738"/>
      <c r="X169" s="726">
        <f>+V169+W169</f>
        <v>1695000</v>
      </c>
      <c r="Y169" s="740">
        <v>42955</v>
      </c>
      <c r="Z169" s="738">
        <v>102</v>
      </c>
      <c r="AA169" s="738" t="s">
        <v>691</v>
      </c>
      <c r="AB169" s="738"/>
      <c r="AC169" s="738"/>
      <c r="AD169" s="738"/>
    </row>
    <row r="170" spans="1:31" ht="61.5" customHeight="1" x14ac:dyDescent="0.2">
      <c r="A170" s="927"/>
      <c r="B170" s="927"/>
      <c r="C170" s="927"/>
      <c r="D170" s="927"/>
      <c r="E170" s="927"/>
      <c r="F170" s="956"/>
      <c r="G170" s="745">
        <v>326</v>
      </c>
      <c r="H170" s="720"/>
      <c r="I170" s="226" t="s">
        <v>735</v>
      </c>
      <c r="J170" s="547">
        <v>80111600</v>
      </c>
      <c r="K170" s="745" t="s">
        <v>95</v>
      </c>
      <c r="L170" s="737"/>
      <c r="M170" s="737" t="s">
        <v>607</v>
      </c>
      <c r="N170" s="708" t="s">
        <v>99</v>
      </c>
      <c r="O170" s="709" t="s">
        <v>445</v>
      </c>
      <c r="P170" s="550" t="s">
        <v>572</v>
      </c>
      <c r="Q170" s="710"/>
      <c r="R170" s="208">
        <f>836553</f>
        <v>836553</v>
      </c>
      <c r="S170" s="726">
        <v>863447</v>
      </c>
      <c r="T170" s="726">
        <f t="shared" si="62"/>
        <v>1700000</v>
      </c>
      <c r="U170" s="727"/>
      <c r="V170" s="739">
        <v>836553</v>
      </c>
      <c r="W170" s="738">
        <v>863447</v>
      </c>
      <c r="X170" s="726">
        <f>+V170+W170</f>
        <v>1700000</v>
      </c>
      <c r="Y170" s="740">
        <v>43068</v>
      </c>
      <c r="Z170" s="738">
        <v>90</v>
      </c>
      <c r="AA170" s="738" t="s">
        <v>522</v>
      </c>
      <c r="AB170" s="726"/>
      <c r="AC170" s="726"/>
      <c r="AD170" s="726"/>
    </row>
    <row r="171" spans="1:31" ht="60.75" customHeight="1" x14ac:dyDescent="0.2">
      <c r="A171" s="927"/>
      <c r="B171" s="927"/>
      <c r="C171" s="927"/>
      <c r="D171" s="927"/>
      <c r="E171" s="927"/>
      <c r="F171" s="956"/>
      <c r="G171" s="706">
        <v>117</v>
      </c>
      <c r="H171" s="706"/>
      <c r="I171" s="228" t="s">
        <v>49</v>
      </c>
      <c r="J171" s="547">
        <v>80111600</v>
      </c>
      <c r="K171" s="737" t="s">
        <v>95</v>
      </c>
      <c r="L171" s="737" t="s">
        <v>95</v>
      </c>
      <c r="M171" s="741" t="s">
        <v>587</v>
      </c>
      <c r="N171" s="718" t="s">
        <v>63</v>
      </c>
      <c r="O171" s="719">
        <v>9</v>
      </c>
      <c r="P171" s="550" t="s">
        <v>572</v>
      </c>
      <c r="Q171" s="710" t="s">
        <v>61</v>
      </c>
      <c r="R171" s="739">
        <v>30033333</v>
      </c>
      <c r="S171" s="742"/>
      <c r="T171" s="725">
        <f t="shared" ref="T171" si="64">SUM(R171:S171)</f>
        <v>30033333</v>
      </c>
      <c r="U171" s="727">
        <v>1</v>
      </c>
      <c r="V171" s="739">
        <v>30033333</v>
      </c>
      <c r="W171" s="739"/>
      <c r="X171" s="739">
        <f>+V171+W171</f>
        <v>30033333</v>
      </c>
      <c r="Y171" s="740">
        <v>42832</v>
      </c>
      <c r="Z171" s="727">
        <v>43</v>
      </c>
      <c r="AA171" s="738" t="s">
        <v>368</v>
      </c>
      <c r="AB171" s="738"/>
      <c r="AC171" s="738"/>
      <c r="AD171" s="738"/>
    </row>
    <row r="172" spans="1:31" ht="20.25" customHeight="1" x14ac:dyDescent="0.25">
      <c r="A172" s="927"/>
      <c r="B172" s="927"/>
      <c r="C172" s="927"/>
      <c r="D172" s="927"/>
      <c r="E172" s="927"/>
      <c r="F172" s="746"/>
      <c r="G172" s="932" t="s">
        <v>94</v>
      </c>
      <c r="H172" s="933"/>
      <c r="I172" s="933"/>
      <c r="J172" s="933"/>
      <c r="K172" s="933"/>
      <c r="L172" s="933"/>
      <c r="M172" s="933"/>
      <c r="N172" s="933"/>
      <c r="O172" s="933"/>
      <c r="P172" s="934"/>
      <c r="Q172" s="733"/>
      <c r="R172" s="747">
        <f>SUM(R165:R171)</f>
        <v>103274886</v>
      </c>
      <c r="S172" s="747">
        <f>SUM(S165:S171)</f>
        <v>863447</v>
      </c>
      <c r="T172" s="747">
        <f>SUM(T165:T171)</f>
        <v>104138333</v>
      </c>
      <c r="U172" s="748"/>
      <c r="V172" s="747">
        <f>SUM(V165:V171)</f>
        <v>103274886</v>
      </c>
      <c r="W172" s="747">
        <f>SUM(W165:W171)</f>
        <v>863447</v>
      </c>
      <c r="X172" s="747">
        <f>SUM(X165:X171)</f>
        <v>104138333</v>
      </c>
      <c r="Y172" s="749"/>
      <c r="Z172" s="747"/>
      <c r="AA172" s="747"/>
      <c r="AB172" s="618"/>
      <c r="AC172" s="618">
        <v>88805000</v>
      </c>
      <c r="AD172" s="618">
        <f>+AB172+AC172</f>
        <v>88805000</v>
      </c>
    </row>
    <row r="173" spans="1:31" ht="15" customHeight="1" x14ac:dyDescent="0.25">
      <c r="A173" s="927"/>
      <c r="B173" s="927"/>
      <c r="C173" s="931"/>
      <c r="D173" s="931"/>
      <c r="E173" s="931"/>
      <c r="F173" s="942" t="s">
        <v>17</v>
      </c>
      <c r="G173" s="942"/>
      <c r="H173" s="942"/>
      <c r="I173" s="942"/>
      <c r="J173" s="942"/>
      <c r="K173" s="942"/>
      <c r="L173" s="942"/>
      <c r="M173" s="942"/>
      <c r="N173" s="942"/>
      <c r="O173" s="942"/>
      <c r="P173" s="942"/>
      <c r="Q173" s="811"/>
      <c r="R173" s="771">
        <f>+R172+R164</f>
        <v>705386000</v>
      </c>
      <c r="S173" s="771">
        <f>+S172+S164</f>
        <v>15637000</v>
      </c>
      <c r="T173" s="771">
        <f>+T172+T164</f>
        <v>721023000</v>
      </c>
      <c r="U173" s="772"/>
      <c r="V173" s="771">
        <f>+V164+V172</f>
        <v>705386000</v>
      </c>
      <c r="W173" s="771">
        <f>+W164+W172</f>
        <v>11087910</v>
      </c>
      <c r="X173" s="771">
        <f>+X164+X172</f>
        <v>716473910</v>
      </c>
      <c r="Y173" s="771"/>
      <c r="Z173" s="771"/>
      <c r="AA173" s="771"/>
      <c r="AB173" s="750"/>
      <c r="AC173" s="751">
        <f>+AC163+AC164+AC172</f>
        <v>613198279</v>
      </c>
      <c r="AD173" s="751">
        <f>+AD163+AD164+AD172</f>
        <v>613198279</v>
      </c>
    </row>
    <row r="174" spans="1:31" ht="21" customHeight="1" x14ac:dyDescent="0.25">
      <c r="A174" s="927"/>
      <c r="B174" s="927"/>
      <c r="C174" s="837" t="s">
        <v>21</v>
      </c>
      <c r="D174" s="837"/>
      <c r="E174" s="837"/>
      <c r="F174" s="837"/>
      <c r="G174" s="837"/>
      <c r="H174" s="837"/>
      <c r="I174" s="837"/>
      <c r="J174" s="837"/>
      <c r="K174" s="837"/>
      <c r="L174" s="837"/>
      <c r="M174" s="837"/>
      <c r="N174" s="837"/>
      <c r="O174" s="837"/>
      <c r="P174" s="837"/>
      <c r="Q174" s="800"/>
      <c r="R174" s="237">
        <f>+R173</f>
        <v>705386000</v>
      </c>
      <c r="S174" s="237">
        <f t="shared" ref="S174:T174" si="65">+S173</f>
        <v>15637000</v>
      </c>
      <c r="T174" s="237">
        <f t="shared" si="65"/>
        <v>721023000</v>
      </c>
      <c r="U174" s="770"/>
      <c r="V174" s="237">
        <f>+V173</f>
        <v>705386000</v>
      </c>
      <c r="W174" s="237">
        <f t="shared" ref="W174:X174" si="66">+W173</f>
        <v>11087910</v>
      </c>
      <c r="X174" s="237">
        <f t="shared" si="66"/>
        <v>716473910</v>
      </c>
      <c r="Y174" s="691"/>
      <c r="Z174" s="237"/>
      <c r="AA174" s="237"/>
      <c r="AB174" s="776">
        <f>+AB173</f>
        <v>0</v>
      </c>
      <c r="AC174" s="777">
        <f>+AC173</f>
        <v>613198279</v>
      </c>
      <c r="AD174" s="777">
        <f>+AD173</f>
        <v>613198279</v>
      </c>
    </row>
    <row r="175" spans="1:31" ht="24.75" customHeight="1" x14ac:dyDescent="0.25">
      <c r="A175" s="940" t="s">
        <v>22</v>
      </c>
      <c r="B175" s="940"/>
      <c r="C175" s="941"/>
      <c r="D175" s="941"/>
      <c r="E175" s="941"/>
      <c r="F175" s="941"/>
      <c r="G175" s="941"/>
      <c r="H175" s="941"/>
      <c r="I175" s="941"/>
      <c r="J175" s="941"/>
      <c r="K175" s="941"/>
      <c r="L175" s="941"/>
      <c r="M175" s="941"/>
      <c r="N175" s="941"/>
      <c r="O175" s="941"/>
      <c r="P175" s="941"/>
      <c r="Q175" s="810"/>
      <c r="R175" s="773">
        <f>+R174+R146</f>
        <v>3477386000</v>
      </c>
      <c r="S175" s="773">
        <f>+S174+S146</f>
        <v>2709528900</v>
      </c>
      <c r="T175" s="773">
        <f>+R175+S175</f>
        <v>6186914900</v>
      </c>
      <c r="U175" s="773">
        <f t="shared" ref="U175:X175" si="67">+U174+U146</f>
        <v>0</v>
      </c>
      <c r="V175" s="773">
        <f t="shared" si="67"/>
        <v>3465909210</v>
      </c>
      <c r="W175" s="773">
        <f t="shared" si="67"/>
        <v>2872450822</v>
      </c>
      <c r="X175" s="773">
        <f t="shared" si="67"/>
        <v>6170889020</v>
      </c>
      <c r="Y175" s="774"/>
      <c r="Z175" s="773"/>
      <c r="AA175" s="773"/>
      <c r="AB175" s="775">
        <f>+AB80+AB145+AB174</f>
        <v>2015526292</v>
      </c>
      <c r="AC175" s="775">
        <f t="shared" ref="AC175:AD175" si="68">+AC80+AC145+AC174</f>
        <v>2719821446</v>
      </c>
      <c r="AD175" s="775">
        <f t="shared" si="68"/>
        <v>4735347738</v>
      </c>
    </row>
    <row r="176" spans="1:31" ht="27.75" customHeight="1" x14ac:dyDescent="0.2">
      <c r="A176" s="519"/>
      <c r="B176" s="519"/>
      <c r="C176" s="519"/>
      <c r="D176" s="519"/>
      <c r="E176" s="519"/>
      <c r="F176" s="530"/>
      <c r="G176" s="530"/>
      <c r="H176" s="530"/>
      <c r="I176" s="531"/>
      <c r="J176" s="532"/>
      <c r="K176" s="532"/>
      <c r="L176" s="532"/>
      <c r="M176" s="532"/>
      <c r="N176" s="532"/>
      <c r="O176" s="522"/>
      <c r="P176" s="752"/>
      <c r="Q176" s="752"/>
      <c r="R176" s="752"/>
      <c r="S176" s="522"/>
      <c r="T176" s="753"/>
      <c r="U176" s="753"/>
      <c r="X176" s="754"/>
    </row>
    <row r="177" spans="1:30" ht="24.75" customHeight="1" x14ac:dyDescent="0.2">
      <c r="A177" s="519"/>
      <c r="B177" s="519"/>
      <c r="C177" s="519"/>
      <c r="D177" s="519"/>
      <c r="E177" s="519"/>
      <c r="F177" s="530"/>
      <c r="G177" s="530"/>
      <c r="H177" s="530"/>
      <c r="I177" s="531"/>
      <c r="J177" s="532"/>
      <c r="K177" s="532"/>
      <c r="L177" s="532"/>
      <c r="M177" s="532"/>
      <c r="N177" s="532"/>
      <c r="O177" s="522"/>
      <c r="P177" s="752"/>
      <c r="Q177" s="752"/>
      <c r="R177" s="752"/>
      <c r="S177" s="522"/>
      <c r="T177" s="753"/>
      <c r="U177" s="753"/>
      <c r="V177" s="555"/>
      <c r="W177" s="555"/>
      <c r="X177" s="755"/>
      <c r="Y177" s="755"/>
    </row>
    <row r="178" spans="1:30" ht="15" x14ac:dyDescent="0.2">
      <c r="A178" s="756"/>
      <c r="B178" s="756"/>
      <c r="C178" s="926" t="s">
        <v>19</v>
      </c>
      <c r="D178" s="926"/>
      <c r="E178" s="926"/>
      <c r="F178" s="926"/>
      <c r="G178" s="757"/>
      <c r="H178" s="757"/>
      <c r="J178" s="947" t="s">
        <v>32</v>
      </c>
      <c r="K178" s="947"/>
      <c r="L178" s="947"/>
      <c r="M178" s="947"/>
      <c r="N178" s="947"/>
      <c r="O178" s="759"/>
      <c r="U178" s="760"/>
      <c r="W178" s="555"/>
      <c r="X178" s="555"/>
      <c r="AD178" s="646"/>
    </row>
    <row r="179" spans="1:30" ht="15" x14ac:dyDescent="0.25">
      <c r="A179" s="756"/>
      <c r="B179" s="756"/>
      <c r="C179" s="939" t="s">
        <v>4</v>
      </c>
      <c r="D179" s="939"/>
      <c r="E179" s="939"/>
      <c r="F179" s="939"/>
      <c r="G179" s="761"/>
      <c r="H179" s="761"/>
      <c r="J179" s="948" t="s">
        <v>33</v>
      </c>
      <c r="K179" s="948"/>
      <c r="L179" s="948"/>
      <c r="M179" s="948"/>
      <c r="N179" s="948"/>
      <c r="O179" s="762"/>
      <c r="U179" s="760"/>
      <c r="X179" s="555"/>
    </row>
    <row r="180" spans="1:30" ht="46.5" customHeight="1" x14ac:dyDescent="0.25">
      <c r="A180" s="756"/>
      <c r="B180" s="756"/>
      <c r="C180" s="761"/>
      <c r="D180" s="761"/>
      <c r="E180" s="761"/>
      <c r="F180" s="761"/>
      <c r="G180" s="761"/>
      <c r="H180" s="761"/>
      <c r="J180" s="762"/>
      <c r="K180" s="762"/>
      <c r="L180" s="762"/>
      <c r="M180" s="762"/>
      <c r="N180" s="762"/>
      <c r="O180" s="762"/>
      <c r="P180" s="760"/>
      <c r="Q180" s="760"/>
      <c r="R180" s="760"/>
      <c r="S180" s="760"/>
      <c r="T180" s="760"/>
      <c r="U180" s="760"/>
      <c r="X180" s="555"/>
      <c r="AD180" s="523" t="s">
        <v>544</v>
      </c>
    </row>
    <row r="181" spans="1:30" x14ac:dyDescent="0.2">
      <c r="A181" s="519"/>
      <c r="B181" s="519"/>
      <c r="C181" s="763"/>
      <c r="D181" s="763"/>
      <c r="E181" s="763"/>
      <c r="F181" s="764"/>
      <c r="G181" s="530"/>
      <c r="H181" s="530"/>
      <c r="I181" s="531"/>
      <c r="J181" s="532"/>
      <c r="K181" s="532"/>
      <c r="L181" s="532"/>
      <c r="M181" s="532"/>
      <c r="N181" s="532"/>
      <c r="O181" s="522"/>
      <c r="P181" s="522"/>
      <c r="Q181" s="522"/>
      <c r="R181" s="522"/>
      <c r="S181" s="522"/>
      <c r="T181" s="753"/>
      <c r="U181" s="753"/>
    </row>
    <row r="182" spans="1:30" s="756" customFormat="1" ht="15" x14ac:dyDescent="0.25">
      <c r="A182" s="519"/>
      <c r="B182" s="519"/>
      <c r="C182" s="938" t="s">
        <v>39</v>
      </c>
      <c r="D182" s="938"/>
      <c r="E182" s="938"/>
      <c r="F182" s="938"/>
      <c r="G182" s="530"/>
      <c r="H182" s="530"/>
      <c r="I182" s="531"/>
      <c r="J182" s="943" t="s">
        <v>34</v>
      </c>
      <c r="K182" s="943"/>
      <c r="L182" s="943"/>
      <c r="M182" s="943"/>
      <c r="N182" s="943"/>
      <c r="O182" s="522"/>
      <c r="P182" s="522"/>
      <c r="Q182" s="522"/>
      <c r="R182" s="522"/>
      <c r="S182" s="522"/>
      <c r="T182" s="522"/>
      <c r="U182" s="522"/>
      <c r="Y182" s="765"/>
    </row>
    <row r="183" spans="1:30" s="756" customFormat="1" ht="15" x14ac:dyDescent="0.2">
      <c r="A183" s="519"/>
      <c r="B183" s="519"/>
      <c r="C183" s="273" t="s">
        <v>530</v>
      </c>
      <c r="D183" s="519"/>
      <c r="E183" s="519"/>
      <c r="F183" s="530"/>
      <c r="G183" s="530"/>
      <c r="H183" s="530"/>
      <c r="I183" s="531"/>
      <c r="J183" s="924" t="s">
        <v>30</v>
      </c>
      <c r="K183" s="924"/>
      <c r="L183" s="924"/>
      <c r="M183" s="924"/>
      <c r="N183" s="924"/>
      <c r="O183" s="766"/>
      <c r="P183" s="522"/>
      <c r="Q183" s="522"/>
      <c r="R183" s="522"/>
      <c r="S183" s="522"/>
      <c r="T183" s="522"/>
      <c r="U183" s="522"/>
      <c r="Y183" s="765"/>
    </row>
    <row r="184" spans="1:30" x14ac:dyDescent="0.2">
      <c r="A184" s="519"/>
      <c r="B184" s="519"/>
      <c r="C184" s="519"/>
      <c r="D184" s="519"/>
      <c r="E184" s="519"/>
      <c r="F184" s="530"/>
      <c r="G184" s="530"/>
      <c r="H184" s="530"/>
      <c r="I184" s="531"/>
      <c r="J184" s="532"/>
      <c r="K184" s="766"/>
      <c r="L184" s="766"/>
      <c r="M184" s="766"/>
      <c r="N184" s="766"/>
      <c r="O184" s="766"/>
      <c r="P184" s="522"/>
      <c r="Q184" s="522"/>
      <c r="R184" s="522"/>
      <c r="S184" s="522"/>
      <c r="T184" s="522"/>
      <c r="U184" s="522"/>
    </row>
    <row r="185" spans="1:30" x14ac:dyDescent="0.2">
      <c r="A185" s="519"/>
      <c r="B185" s="519"/>
      <c r="C185" s="519"/>
      <c r="D185" s="519"/>
      <c r="E185" s="519"/>
      <c r="F185" s="530"/>
      <c r="G185" s="530"/>
      <c r="H185" s="530"/>
      <c r="I185" s="531"/>
      <c r="J185" s="532"/>
      <c r="K185" s="532"/>
      <c r="L185" s="532"/>
      <c r="M185" s="532"/>
      <c r="N185" s="532"/>
      <c r="O185" s="522"/>
      <c r="P185" s="522"/>
      <c r="Q185" s="522"/>
      <c r="R185" s="522"/>
      <c r="S185" s="522"/>
      <c r="T185" s="522"/>
      <c r="U185" s="522"/>
    </row>
    <row r="186" spans="1:30" x14ac:dyDescent="0.2">
      <c r="A186" s="519"/>
      <c r="B186" s="519"/>
      <c r="C186" s="519"/>
      <c r="D186" s="519"/>
      <c r="E186" s="519"/>
      <c r="F186" s="530"/>
      <c r="G186" s="530"/>
      <c r="H186" s="530"/>
      <c r="I186" s="531"/>
      <c r="J186" s="532"/>
      <c r="K186" s="532"/>
      <c r="L186" s="532"/>
      <c r="M186" s="532"/>
      <c r="N186" s="532"/>
      <c r="O186" s="522"/>
      <c r="P186" s="522"/>
      <c r="Q186" s="522"/>
      <c r="R186" s="522"/>
      <c r="S186" s="522"/>
      <c r="T186" s="522"/>
      <c r="U186" s="522"/>
    </row>
    <row r="187" spans="1:30" x14ac:dyDescent="0.2">
      <c r="A187" s="519"/>
      <c r="B187" s="519"/>
      <c r="C187" s="519"/>
      <c r="D187" s="519"/>
      <c r="E187" s="519"/>
      <c r="F187" s="530"/>
      <c r="G187" s="530"/>
      <c r="H187" s="530"/>
      <c r="I187" s="531"/>
      <c r="J187" s="532"/>
      <c r="K187" s="532"/>
      <c r="L187" s="532"/>
      <c r="M187" s="532"/>
      <c r="N187" s="532"/>
      <c r="O187" s="522"/>
      <c r="P187" s="522"/>
      <c r="Q187" s="522"/>
      <c r="R187" s="522"/>
      <c r="S187" s="522"/>
      <c r="T187" s="522"/>
      <c r="U187" s="522"/>
      <c r="W187" s="555"/>
    </row>
    <row r="188" spans="1:30" x14ac:dyDescent="0.2">
      <c r="A188" s="519"/>
      <c r="B188" s="519"/>
      <c r="C188" s="519"/>
      <c r="D188" s="519"/>
      <c r="E188" s="519"/>
      <c r="F188" s="530"/>
      <c r="G188" s="530"/>
      <c r="H188" s="530"/>
      <c r="I188" s="531"/>
      <c r="J188" s="532"/>
      <c r="K188" s="532"/>
      <c r="L188" s="532"/>
      <c r="M188" s="532"/>
      <c r="N188" s="532"/>
      <c r="O188" s="522"/>
      <c r="P188" s="522"/>
      <c r="Q188" s="522"/>
      <c r="R188" s="522"/>
      <c r="S188" s="522"/>
      <c r="T188" s="522"/>
      <c r="U188" s="522"/>
    </row>
    <row r="189" spans="1:30" x14ac:dyDescent="0.2">
      <c r="A189" s="519"/>
      <c r="B189" s="519"/>
      <c r="C189" s="519"/>
      <c r="D189" s="519"/>
      <c r="E189" s="519"/>
      <c r="F189" s="530"/>
      <c r="G189" s="530"/>
      <c r="H189" s="530"/>
      <c r="I189" s="531"/>
      <c r="J189" s="532"/>
      <c r="K189" s="532"/>
      <c r="L189" s="532"/>
      <c r="M189" s="532"/>
      <c r="N189" s="532"/>
      <c r="O189" s="522"/>
      <c r="P189" s="522"/>
      <c r="Q189" s="522"/>
      <c r="R189" s="522"/>
      <c r="S189" s="522"/>
      <c r="T189" s="522"/>
      <c r="U189" s="522"/>
    </row>
    <row r="190" spans="1:30" x14ac:dyDescent="0.2">
      <c r="A190" s="519"/>
      <c r="B190" s="519"/>
      <c r="C190" s="519"/>
      <c r="D190" s="519"/>
      <c r="E190" s="519"/>
      <c r="F190" s="530"/>
      <c r="G190" s="530"/>
      <c r="H190" s="530"/>
      <c r="I190" s="531"/>
      <c r="J190" s="532"/>
      <c r="K190" s="532"/>
      <c r="L190" s="532"/>
      <c r="M190" s="532"/>
      <c r="N190" s="532"/>
      <c r="O190" s="522"/>
      <c r="P190" s="522"/>
      <c r="Q190" s="522"/>
      <c r="R190" s="522"/>
      <c r="S190" s="522"/>
      <c r="T190" s="522"/>
      <c r="U190" s="522"/>
    </row>
    <row r="191" spans="1:30" x14ac:dyDescent="0.2">
      <c r="A191" s="519"/>
      <c r="B191" s="519"/>
      <c r="C191" s="519"/>
      <c r="D191" s="519"/>
      <c r="E191" s="519"/>
      <c r="F191" s="530"/>
      <c r="G191" s="530"/>
      <c r="H191" s="530"/>
      <c r="I191" s="531"/>
      <c r="J191" s="532"/>
      <c r="K191" s="532"/>
      <c r="L191" s="532"/>
      <c r="M191" s="532"/>
      <c r="N191" s="532"/>
      <c r="O191" s="522"/>
      <c r="P191" s="522"/>
      <c r="Q191" s="522"/>
      <c r="R191" s="522"/>
      <c r="S191" s="522"/>
      <c r="T191" s="522"/>
      <c r="U191" s="522"/>
    </row>
    <row r="192" spans="1:30" x14ac:dyDescent="0.2">
      <c r="A192" s="519"/>
      <c r="B192" s="519"/>
      <c r="C192" s="519"/>
      <c r="D192" s="519"/>
      <c r="E192" s="519"/>
      <c r="F192" s="530"/>
      <c r="G192" s="530"/>
      <c r="H192" s="530"/>
      <c r="I192" s="531"/>
      <c r="J192" s="532"/>
      <c r="K192" s="532"/>
      <c r="L192" s="532"/>
      <c r="M192" s="532"/>
      <c r="N192" s="532"/>
      <c r="O192" s="522"/>
      <c r="P192" s="522"/>
      <c r="Q192" s="522"/>
      <c r="R192" s="522"/>
      <c r="S192" s="522"/>
      <c r="T192" s="522"/>
      <c r="U192" s="522"/>
    </row>
    <row r="193" spans="1:25" x14ac:dyDescent="0.2">
      <c r="A193" s="519"/>
      <c r="B193" s="519"/>
      <c r="C193" s="519"/>
      <c r="D193" s="519"/>
      <c r="E193" s="519"/>
      <c r="F193" s="530"/>
      <c r="G193" s="530"/>
      <c r="H193" s="530"/>
      <c r="I193" s="531"/>
      <c r="J193" s="532"/>
      <c r="K193" s="532"/>
      <c r="L193" s="532"/>
      <c r="M193" s="532"/>
      <c r="N193" s="532"/>
      <c r="O193" s="522"/>
      <c r="P193" s="522"/>
      <c r="Q193" s="522"/>
      <c r="R193" s="522"/>
      <c r="S193" s="522"/>
      <c r="T193" s="522"/>
      <c r="U193" s="522"/>
    </row>
    <row r="194" spans="1:25" x14ac:dyDescent="0.2">
      <c r="A194" s="519"/>
      <c r="B194" s="519"/>
      <c r="C194" s="519"/>
      <c r="D194" s="519"/>
      <c r="E194" s="519"/>
      <c r="F194" s="530"/>
      <c r="G194" s="530"/>
      <c r="H194" s="530"/>
      <c r="I194" s="531"/>
      <c r="J194" s="532"/>
      <c r="K194" s="532"/>
      <c r="L194" s="532"/>
      <c r="M194" s="532"/>
      <c r="N194" s="532"/>
      <c r="O194" s="522"/>
      <c r="P194" s="522"/>
      <c r="Q194" s="522"/>
      <c r="R194" s="522"/>
      <c r="S194" s="522"/>
      <c r="T194" s="522"/>
      <c r="U194" s="522"/>
      <c r="W194" s="555"/>
      <c r="Y194" s="523"/>
    </row>
    <row r="195" spans="1:25" x14ac:dyDescent="0.2">
      <c r="A195" s="519"/>
      <c r="B195" s="519"/>
      <c r="C195" s="519"/>
      <c r="D195" s="519"/>
      <c r="E195" s="519"/>
      <c r="F195" s="530"/>
      <c r="G195" s="530"/>
      <c r="H195" s="530"/>
      <c r="I195" s="531"/>
      <c r="J195" s="532"/>
      <c r="K195" s="532"/>
      <c r="L195" s="532"/>
      <c r="M195" s="532"/>
      <c r="N195" s="532"/>
      <c r="O195" s="522"/>
      <c r="P195" s="522"/>
      <c r="Q195" s="522"/>
      <c r="R195" s="522"/>
      <c r="S195" s="522"/>
      <c r="T195" s="522"/>
      <c r="U195" s="522"/>
      <c r="Y195" s="523"/>
    </row>
    <row r="196" spans="1:25" x14ac:dyDescent="0.2">
      <c r="A196" s="519"/>
      <c r="B196" s="519"/>
      <c r="C196" s="519"/>
      <c r="D196" s="519"/>
      <c r="E196" s="519"/>
      <c r="F196" s="530"/>
      <c r="G196" s="530"/>
      <c r="H196" s="530"/>
      <c r="I196" s="531"/>
      <c r="J196" s="532"/>
      <c r="K196" s="532"/>
      <c r="L196" s="532"/>
      <c r="M196" s="532"/>
      <c r="N196" s="532"/>
      <c r="O196" s="522"/>
      <c r="P196" s="522"/>
      <c r="Q196" s="522"/>
      <c r="R196" s="522"/>
      <c r="S196" s="522"/>
      <c r="T196" s="522"/>
      <c r="U196" s="522"/>
      <c r="W196" s="555"/>
      <c r="Y196" s="523"/>
    </row>
    <row r="197" spans="1:25" x14ac:dyDescent="0.2">
      <c r="A197" s="519"/>
      <c r="B197" s="519"/>
      <c r="C197" s="519"/>
      <c r="D197" s="519"/>
      <c r="E197" s="519"/>
      <c r="F197" s="530"/>
      <c r="G197" s="530"/>
      <c r="H197" s="530"/>
      <c r="I197" s="531"/>
      <c r="J197" s="532"/>
      <c r="K197" s="532"/>
      <c r="L197" s="532"/>
      <c r="M197" s="532"/>
      <c r="N197" s="532"/>
      <c r="O197" s="522"/>
      <c r="P197" s="522"/>
      <c r="Q197" s="522"/>
      <c r="R197" s="522"/>
      <c r="S197" s="522"/>
      <c r="T197" s="522"/>
      <c r="U197" s="522"/>
      <c r="Y197" s="523"/>
    </row>
    <row r="198" spans="1:25" x14ac:dyDescent="0.2">
      <c r="A198" s="519"/>
      <c r="B198" s="519"/>
      <c r="C198" s="519"/>
      <c r="D198" s="519"/>
      <c r="E198" s="519"/>
      <c r="F198" s="530"/>
      <c r="G198" s="530"/>
      <c r="H198" s="530"/>
      <c r="I198" s="531"/>
      <c r="J198" s="532"/>
      <c r="K198" s="532"/>
      <c r="L198" s="532"/>
      <c r="M198" s="532"/>
      <c r="N198" s="532"/>
      <c r="O198" s="522"/>
      <c r="P198" s="522"/>
      <c r="Q198" s="522"/>
      <c r="R198" s="522"/>
      <c r="S198" s="522"/>
      <c r="T198" s="522"/>
      <c r="U198" s="522"/>
      <c r="Y198" s="523"/>
    </row>
    <row r="199" spans="1:25" x14ac:dyDescent="0.2">
      <c r="A199" s="519"/>
      <c r="B199" s="519"/>
      <c r="C199" s="519"/>
      <c r="D199" s="519"/>
      <c r="E199" s="519"/>
      <c r="F199" s="530"/>
      <c r="G199" s="530"/>
      <c r="H199" s="530"/>
      <c r="I199" s="531"/>
      <c r="J199" s="532"/>
      <c r="K199" s="532"/>
      <c r="L199" s="532"/>
      <c r="M199" s="532"/>
      <c r="N199" s="532"/>
      <c r="O199" s="522"/>
      <c r="P199" s="522"/>
      <c r="Q199" s="522"/>
      <c r="R199" s="522"/>
      <c r="S199" s="522"/>
      <c r="T199" s="522"/>
      <c r="U199" s="522"/>
      <c r="Y199" s="523"/>
    </row>
    <row r="200" spans="1:25" x14ac:dyDescent="0.2">
      <c r="A200" s="519"/>
      <c r="B200" s="519"/>
      <c r="C200" s="519"/>
      <c r="D200" s="519"/>
      <c r="E200" s="519"/>
      <c r="F200" s="530"/>
      <c r="G200" s="530"/>
      <c r="H200" s="530"/>
      <c r="I200" s="531"/>
      <c r="J200" s="532"/>
      <c r="K200" s="532"/>
      <c r="L200" s="532"/>
      <c r="M200" s="532"/>
      <c r="N200" s="532"/>
      <c r="O200" s="522"/>
      <c r="P200" s="522"/>
      <c r="Q200" s="522"/>
      <c r="R200" s="522"/>
      <c r="S200" s="522"/>
      <c r="T200" s="522"/>
      <c r="U200" s="522"/>
      <c r="Y200" s="523"/>
    </row>
    <row r="201" spans="1:25" x14ac:dyDescent="0.2">
      <c r="A201" s="519"/>
      <c r="B201" s="519"/>
      <c r="C201" s="519"/>
      <c r="D201" s="519"/>
      <c r="E201" s="519"/>
      <c r="F201" s="530"/>
      <c r="G201" s="530"/>
      <c r="H201" s="530"/>
      <c r="I201" s="531"/>
      <c r="J201" s="532"/>
      <c r="K201" s="532"/>
      <c r="L201" s="532"/>
      <c r="M201" s="532"/>
      <c r="N201" s="532"/>
      <c r="O201" s="522"/>
      <c r="P201" s="522"/>
      <c r="Q201" s="522"/>
      <c r="R201" s="522"/>
      <c r="S201" s="522"/>
      <c r="T201" s="522"/>
      <c r="U201" s="522"/>
      <c r="Y201" s="523"/>
    </row>
    <row r="202" spans="1:25" x14ac:dyDescent="0.2">
      <c r="A202" s="519"/>
      <c r="B202" s="519"/>
      <c r="C202" s="519"/>
      <c r="D202" s="519"/>
      <c r="E202" s="519"/>
      <c r="F202" s="530"/>
      <c r="G202" s="530"/>
      <c r="H202" s="530"/>
      <c r="I202" s="531"/>
      <c r="J202" s="532"/>
      <c r="K202" s="532"/>
      <c r="L202" s="532"/>
      <c r="M202" s="532"/>
      <c r="N202" s="532"/>
      <c r="O202" s="522"/>
      <c r="P202" s="522"/>
      <c r="Q202" s="522"/>
      <c r="R202" s="522"/>
      <c r="S202" s="522"/>
      <c r="T202" s="522"/>
      <c r="U202" s="522"/>
      <c r="Y202" s="523"/>
    </row>
    <row r="203" spans="1:25" x14ac:dyDescent="0.2">
      <c r="A203" s="519"/>
      <c r="B203" s="519"/>
      <c r="C203" s="519"/>
      <c r="D203" s="519"/>
      <c r="E203" s="519"/>
      <c r="F203" s="530"/>
      <c r="G203" s="530"/>
      <c r="H203" s="530"/>
      <c r="I203" s="531"/>
      <c r="J203" s="532"/>
      <c r="K203" s="532"/>
      <c r="L203" s="532"/>
      <c r="M203" s="532"/>
      <c r="N203" s="532"/>
      <c r="O203" s="522"/>
      <c r="P203" s="522"/>
      <c r="Q203" s="522"/>
      <c r="R203" s="522"/>
      <c r="S203" s="522"/>
      <c r="T203" s="522"/>
      <c r="U203" s="522"/>
      <c r="Y203" s="523"/>
    </row>
    <row r="204" spans="1:25" x14ac:dyDescent="0.2">
      <c r="A204" s="519"/>
      <c r="B204" s="519"/>
      <c r="C204" s="519"/>
      <c r="D204" s="519"/>
      <c r="E204" s="519"/>
      <c r="F204" s="530"/>
      <c r="G204" s="530"/>
      <c r="H204" s="530"/>
      <c r="I204" s="531"/>
      <c r="J204" s="532"/>
      <c r="K204" s="532"/>
      <c r="L204" s="532"/>
      <c r="M204" s="532"/>
      <c r="N204" s="532"/>
      <c r="O204" s="522"/>
      <c r="P204" s="522"/>
      <c r="Q204" s="522"/>
      <c r="R204" s="522"/>
      <c r="S204" s="522"/>
      <c r="T204" s="522"/>
      <c r="U204" s="522"/>
      <c r="Y204" s="523"/>
    </row>
    <row r="205" spans="1:25" x14ac:dyDescent="0.2">
      <c r="A205" s="519"/>
      <c r="B205" s="519"/>
      <c r="C205" s="519"/>
      <c r="D205" s="519"/>
      <c r="E205" s="519"/>
      <c r="F205" s="530"/>
      <c r="G205" s="530"/>
      <c r="H205" s="530"/>
      <c r="I205" s="531"/>
      <c r="J205" s="532"/>
      <c r="K205" s="532"/>
      <c r="L205" s="532"/>
      <c r="M205" s="532"/>
      <c r="N205" s="532"/>
      <c r="O205" s="522"/>
      <c r="P205" s="522"/>
      <c r="Q205" s="522"/>
      <c r="R205" s="522"/>
      <c r="S205" s="522"/>
      <c r="T205" s="522"/>
      <c r="U205" s="522"/>
      <c r="Y205" s="523"/>
    </row>
    <row r="206" spans="1:25" x14ac:dyDescent="0.2">
      <c r="A206" s="519"/>
      <c r="B206" s="519"/>
      <c r="C206" s="519"/>
      <c r="D206" s="519"/>
      <c r="E206" s="519"/>
      <c r="F206" s="530"/>
      <c r="G206" s="530"/>
      <c r="H206" s="530"/>
      <c r="I206" s="531"/>
      <c r="J206" s="532"/>
      <c r="K206" s="532"/>
      <c r="L206" s="532"/>
      <c r="M206" s="532"/>
      <c r="N206" s="532"/>
      <c r="O206" s="522"/>
      <c r="P206" s="522"/>
      <c r="Q206" s="522"/>
      <c r="R206" s="522"/>
      <c r="S206" s="522"/>
      <c r="T206" s="522"/>
      <c r="U206" s="522"/>
      <c r="Y206" s="523"/>
    </row>
    <row r="207" spans="1:25" x14ac:dyDescent="0.2">
      <c r="A207" s="519"/>
      <c r="B207" s="519"/>
      <c r="C207" s="519"/>
      <c r="D207" s="519"/>
      <c r="E207" s="519"/>
      <c r="F207" s="530"/>
      <c r="G207" s="530"/>
      <c r="H207" s="530"/>
      <c r="I207" s="531"/>
      <c r="J207" s="532"/>
      <c r="K207" s="532"/>
      <c r="L207" s="532"/>
      <c r="M207" s="532"/>
      <c r="N207" s="532"/>
      <c r="O207" s="522"/>
      <c r="P207" s="522"/>
      <c r="Q207" s="522"/>
      <c r="R207" s="522"/>
      <c r="S207" s="522"/>
      <c r="T207" s="522"/>
      <c r="U207" s="522"/>
      <c r="Y207" s="523"/>
    </row>
    <row r="208" spans="1:25" x14ac:dyDescent="0.2">
      <c r="A208" s="519"/>
      <c r="B208" s="519"/>
      <c r="C208" s="519"/>
      <c r="D208" s="519"/>
      <c r="E208" s="519"/>
      <c r="F208" s="530"/>
      <c r="G208" s="530"/>
      <c r="H208" s="530"/>
      <c r="I208" s="531"/>
      <c r="J208" s="532"/>
      <c r="K208" s="532"/>
      <c r="L208" s="532"/>
      <c r="M208" s="532"/>
      <c r="N208" s="532"/>
      <c r="O208" s="522"/>
      <c r="P208" s="522"/>
      <c r="Q208" s="522"/>
      <c r="R208" s="522"/>
      <c r="S208" s="522"/>
      <c r="T208" s="522"/>
      <c r="U208" s="522"/>
      <c r="Y208" s="523"/>
    </row>
    <row r="209" spans="1:25" x14ac:dyDescent="0.2">
      <c r="A209" s="519"/>
      <c r="B209" s="519"/>
      <c r="C209" s="519"/>
      <c r="D209" s="519"/>
      <c r="E209" s="519"/>
      <c r="F209" s="530"/>
      <c r="G209" s="530"/>
      <c r="H209" s="530"/>
      <c r="I209" s="531"/>
      <c r="J209" s="532"/>
      <c r="K209" s="532"/>
      <c r="L209" s="532"/>
      <c r="M209" s="532"/>
      <c r="N209" s="532"/>
      <c r="O209" s="522"/>
      <c r="P209" s="522"/>
      <c r="Q209" s="522"/>
      <c r="R209" s="522"/>
      <c r="S209" s="522"/>
      <c r="T209" s="522"/>
      <c r="U209" s="522"/>
      <c r="Y209" s="523"/>
    </row>
    <row r="210" spans="1:25" x14ac:dyDescent="0.2">
      <c r="A210" s="519"/>
      <c r="B210" s="519"/>
      <c r="C210" s="519"/>
      <c r="D210" s="519"/>
      <c r="E210" s="519"/>
      <c r="F210" s="530"/>
      <c r="G210" s="530"/>
      <c r="H210" s="530"/>
      <c r="I210" s="531"/>
      <c r="J210" s="532"/>
      <c r="K210" s="532"/>
      <c r="L210" s="532"/>
      <c r="M210" s="532"/>
      <c r="N210" s="532"/>
      <c r="O210" s="522"/>
      <c r="P210" s="522"/>
      <c r="Q210" s="522"/>
      <c r="R210" s="522"/>
      <c r="S210" s="522"/>
      <c r="T210" s="522"/>
      <c r="U210" s="522"/>
      <c r="Y210" s="523"/>
    </row>
    <row r="211" spans="1:25" x14ac:dyDescent="0.2">
      <c r="A211" s="519"/>
      <c r="B211" s="519"/>
      <c r="C211" s="519"/>
      <c r="D211" s="519"/>
      <c r="E211" s="519"/>
      <c r="F211" s="530"/>
      <c r="G211" s="530"/>
      <c r="H211" s="530"/>
      <c r="I211" s="531"/>
      <c r="J211" s="532"/>
      <c r="K211" s="532"/>
      <c r="L211" s="532"/>
      <c r="M211" s="532"/>
      <c r="N211" s="532"/>
      <c r="O211" s="522"/>
      <c r="P211" s="522"/>
      <c r="Q211" s="522"/>
      <c r="R211" s="522"/>
      <c r="S211" s="522"/>
      <c r="T211" s="522"/>
      <c r="U211" s="522"/>
      <c r="Y211" s="523"/>
    </row>
    <row r="212" spans="1:25" x14ac:dyDescent="0.2">
      <c r="A212" s="519"/>
      <c r="B212" s="519"/>
      <c r="C212" s="519"/>
      <c r="D212" s="519"/>
      <c r="E212" s="519"/>
      <c r="F212" s="530"/>
      <c r="G212" s="530"/>
      <c r="H212" s="530"/>
      <c r="I212" s="531"/>
      <c r="J212" s="532"/>
      <c r="K212" s="532"/>
      <c r="L212" s="532"/>
      <c r="M212" s="532"/>
      <c r="N212" s="532"/>
      <c r="O212" s="522"/>
      <c r="P212" s="522"/>
      <c r="Q212" s="522"/>
      <c r="R212" s="522"/>
      <c r="S212" s="522"/>
      <c r="T212" s="522"/>
      <c r="U212" s="522"/>
      <c r="Y212" s="523"/>
    </row>
    <row r="213" spans="1:25" x14ac:dyDescent="0.2">
      <c r="A213" s="519"/>
      <c r="B213" s="519"/>
      <c r="C213" s="519"/>
      <c r="D213" s="519"/>
      <c r="E213" s="519"/>
      <c r="F213" s="530"/>
      <c r="G213" s="530"/>
      <c r="H213" s="530"/>
      <c r="I213" s="531"/>
      <c r="J213" s="532"/>
      <c r="K213" s="532"/>
      <c r="L213" s="532"/>
      <c r="M213" s="532"/>
      <c r="N213" s="532"/>
      <c r="O213" s="522"/>
      <c r="P213" s="522"/>
      <c r="Q213" s="522"/>
      <c r="R213" s="522"/>
      <c r="S213" s="522"/>
      <c r="T213" s="522"/>
      <c r="U213" s="522"/>
      <c r="Y213" s="523"/>
    </row>
    <row r="214" spans="1:25" x14ac:dyDescent="0.2">
      <c r="A214" s="519"/>
      <c r="B214" s="519"/>
      <c r="C214" s="519"/>
      <c r="D214" s="519"/>
      <c r="E214" s="519"/>
      <c r="F214" s="530"/>
      <c r="G214" s="530"/>
      <c r="H214" s="530"/>
      <c r="I214" s="531"/>
      <c r="J214" s="532"/>
      <c r="K214" s="532"/>
      <c r="L214" s="532"/>
      <c r="M214" s="532"/>
      <c r="N214" s="532"/>
      <c r="O214" s="522"/>
      <c r="P214" s="522"/>
      <c r="Q214" s="522"/>
      <c r="R214" s="522"/>
      <c r="S214" s="522"/>
      <c r="T214" s="522"/>
      <c r="U214" s="522"/>
      <c r="Y214" s="523"/>
    </row>
    <row r="215" spans="1:25" x14ac:dyDescent="0.2">
      <c r="A215" s="519"/>
      <c r="B215" s="519"/>
      <c r="C215" s="519"/>
      <c r="D215" s="519"/>
      <c r="E215" s="519"/>
      <c r="F215" s="530"/>
      <c r="G215" s="530"/>
      <c r="H215" s="530"/>
      <c r="I215" s="531"/>
      <c r="J215" s="532"/>
      <c r="K215" s="532"/>
      <c r="L215" s="532"/>
      <c r="M215" s="532"/>
      <c r="N215" s="532"/>
      <c r="O215" s="522"/>
      <c r="P215" s="522"/>
      <c r="Q215" s="522"/>
      <c r="R215" s="522"/>
      <c r="S215" s="522"/>
      <c r="T215" s="522"/>
      <c r="U215" s="522"/>
      <c r="Y215" s="523"/>
    </row>
    <row r="216" spans="1:25" x14ac:dyDescent="0.2">
      <c r="A216" s="519"/>
      <c r="B216" s="519"/>
      <c r="C216" s="519"/>
      <c r="D216" s="519"/>
      <c r="E216" s="519"/>
      <c r="F216" s="530"/>
      <c r="G216" s="530"/>
      <c r="H216" s="530"/>
      <c r="I216" s="531"/>
      <c r="J216" s="532"/>
      <c r="K216" s="532"/>
      <c r="L216" s="532"/>
      <c r="M216" s="532"/>
      <c r="N216" s="532"/>
      <c r="O216" s="522"/>
      <c r="P216" s="522"/>
      <c r="Q216" s="522"/>
      <c r="R216" s="522"/>
      <c r="S216" s="522"/>
      <c r="T216" s="522"/>
      <c r="U216" s="522"/>
      <c r="Y216" s="523"/>
    </row>
    <row r="217" spans="1:25" x14ac:dyDescent="0.2">
      <c r="A217" s="519"/>
      <c r="B217" s="519"/>
      <c r="C217" s="519"/>
      <c r="D217" s="519"/>
      <c r="E217" s="519"/>
      <c r="F217" s="530"/>
      <c r="G217" s="530"/>
      <c r="H217" s="530"/>
      <c r="I217" s="531"/>
      <c r="J217" s="532"/>
      <c r="K217" s="532"/>
      <c r="L217" s="532"/>
      <c r="M217" s="532"/>
      <c r="N217" s="532"/>
      <c r="O217" s="522"/>
      <c r="P217" s="522"/>
      <c r="Q217" s="522"/>
      <c r="R217" s="522"/>
      <c r="S217" s="522"/>
      <c r="T217" s="522"/>
      <c r="U217" s="522"/>
      <c r="Y217" s="523"/>
    </row>
    <row r="218" spans="1:25" x14ac:dyDescent="0.2">
      <c r="A218" s="519"/>
      <c r="B218" s="519"/>
      <c r="C218" s="519"/>
      <c r="D218" s="519"/>
      <c r="E218" s="519"/>
      <c r="F218" s="530"/>
      <c r="G218" s="530"/>
      <c r="H218" s="530"/>
      <c r="I218" s="531"/>
      <c r="J218" s="532"/>
      <c r="K218" s="532"/>
      <c r="L218" s="532"/>
      <c r="M218" s="532"/>
      <c r="N218" s="532"/>
      <c r="O218" s="522"/>
      <c r="P218" s="522"/>
      <c r="Q218" s="522"/>
      <c r="R218" s="522"/>
      <c r="S218" s="522"/>
      <c r="T218" s="522"/>
      <c r="U218" s="522"/>
      <c r="Y218" s="523"/>
    </row>
    <row r="219" spans="1:25" x14ac:dyDescent="0.2">
      <c r="A219" s="519"/>
      <c r="B219" s="519"/>
      <c r="C219" s="519"/>
      <c r="D219" s="519"/>
      <c r="E219" s="519"/>
      <c r="F219" s="530"/>
      <c r="G219" s="530"/>
      <c r="H219" s="530"/>
      <c r="I219" s="531"/>
      <c r="J219" s="532"/>
      <c r="K219" s="532"/>
      <c r="L219" s="532"/>
      <c r="M219" s="532"/>
      <c r="N219" s="532"/>
      <c r="O219" s="522"/>
      <c r="P219" s="522"/>
      <c r="Q219" s="522"/>
      <c r="R219" s="522"/>
      <c r="S219" s="522"/>
      <c r="T219" s="522"/>
      <c r="U219" s="522"/>
      <c r="Y219" s="523"/>
    </row>
    <row r="220" spans="1:25" x14ac:dyDescent="0.2">
      <c r="A220" s="519"/>
      <c r="B220" s="519"/>
      <c r="C220" s="519"/>
      <c r="D220" s="519"/>
      <c r="E220" s="519"/>
      <c r="F220" s="530"/>
      <c r="G220" s="530"/>
      <c r="H220" s="530"/>
      <c r="I220" s="531"/>
      <c r="J220" s="532"/>
      <c r="K220" s="532"/>
      <c r="L220" s="532"/>
      <c r="M220" s="532"/>
      <c r="N220" s="532"/>
      <c r="O220" s="522"/>
      <c r="P220" s="522"/>
      <c r="Q220" s="522"/>
      <c r="R220" s="522"/>
      <c r="S220" s="522"/>
      <c r="T220" s="522"/>
      <c r="U220" s="522"/>
      <c r="Y220" s="523"/>
    </row>
    <row r="221" spans="1:25" x14ac:dyDescent="0.2">
      <c r="A221" s="519"/>
      <c r="B221" s="519"/>
      <c r="C221" s="519"/>
      <c r="D221" s="519"/>
      <c r="E221" s="519"/>
      <c r="F221" s="530"/>
      <c r="G221" s="530"/>
      <c r="H221" s="530"/>
      <c r="I221" s="531"/>
      <c r="J221" s="532"/>
      <c r="K221" s="532"/>
      <c r="L221" s="532"/>
      <c r="M221" s="532"/>
      <c r="N221" s="532"/>
      <c r="O221" s="522"/>
      <c r="P221" s="522"/>
      <c r="Q221" s="522"/>
      <c r="R221" s="522"/>
      <c r="S221" s="522"/>
      <c r="T221" s="522"/>
      <c r="U221" s="522"/>
      <c r="Y221" s="523"/>
    </row>
    <row r="222" spans="1:25" x14ac:dyDescent="0.2">
      <c r="A222" s="519"/>
      <c r="B222" s="519"/>
      <c r="C222" s="519"/>
      <c r="D222" s="519"/>
      <c r="E222" s="519"/>
      <c r="F222" s="530"/>
      <c r="G222" s="530"/>
      <c r="H222" s="530"/>
      <c r="I222" s="531"/>
      <c r="J222" s="532"/>
      <c r="K222" s="532"/>
      <c r="L222" s="532"/>
      <c r="M222" s="532"/>
      <c r="N222" s="532"/>
      <c r="O222" s="522"/>
      <c r="P222" s="522"/>
      <c r="Q222" s="522"/>
      <c r="R222" s="522"/>
      <c r="S222" s="522"/>
      <c r="T222" s="522"/>
      <c r="U222" s="522"/>
      <c r="Y222" s="523"/>
    </row>
    <row r="223" spans="1:25" x14ac:dyDescent="0.2">
      <c r="A223" s="519"/>
      <c r="B223" s="519"/>
      <c r="C223" s="519"/>
      <c r="D223" s="519"/>
      <c r="E223" s="519"/>
      <c r="F223" s="530"/>
      <c r="G223" s="530"/>
      <c r="H223" s="530"/>
      <c r="I223" s="531"/>
      <c r="J223" s="532"/>
      <c r="K223" s="532"/>
      <c r="L223" s="532"/>
      <c r="M223" s="532"/>
      <c r="N223" s="532"/>
      <c r="O223" s="522"/>
      <c r="P223" s="522"/>
      <c r="Q223" s="522"/>
      <c r="R223" s="522"/>
      <c r="S223" s="522"/>
      <c r="T223" s="522"/>
      <c r="U223" s="522"/>
      <c r="Y223" s="523"/>
    </row>
    <row r="224" spans="1:25" x14ac:dyDescent="0.2">
      <c r="A224" s="519"/>
      <c r="B224" s="519"/>
      <c r="C224" s="519"/>
      <c r="D224" s="519"/>
      <c r="E224" s="519"/>
      <c r="F224" s="530"/>
      <c r="G224" s="530"/>
      <c r="H224" s="530"/>
      <c r="I224" s="531"/>
      <c r="J224" s="532"/>
      <c r="K224" s="532"/>
      <c r="L224" s="532"/>
      <c r="M224" s="532"/>
      <c r="N224" s="532"/>
      <c r="O224" s="522"/>
      <c r="P224" s="522"/>
      <c r="Q224" s="522"/>
      <c r="R224" s="522"/>
      <c r="S224" s="522"/>
      <c r="T224" s="522"/>
      <c r="U224" s="522"/>
      <c r="Y224" s="523"/>
    </row>
    <row r="225" spans="1:25" x14ac:dyDescent="0.2">
      <c r="A225" s="519"/>
      <c r="B225" s="519"/>
      <c r="C225" s="519"/>
      <c r="D225" s="519"/>
      <c r="E225" s="519"/>
      <c r="F225" s="530"/>
      <c r="G225" s="530"/>
      <c r="H225" s="530"/>
      <c r="I225" s="531"/>
      <c r="J225" s="532"/>
      <c r="K225" s="532"/>
      <c r="L225" s="532"/>
      <c r="M225" s="532"/>
      <c r="N225" s="532"/>
      <c r="O225" s="522"/>
      <c r="P225" s="522"/>
      <c r="Q225" s="522"/>
      <c r="R225" s="522"/>
      <c r="S225" s="522"/>
      <c r="T225" s="522"/>
      <c r="U225" s="522"/>
      <c r="Y225" s="523"/>
    </row>
    <row r="226" spans="1:25" x14ac:dyDescent="0.2">
      <c r="A226" s="519"/>
      <c r="B226" s="519"/>
      <c r="C226" s="519"/>
      <c r="D226" s="519"/>
      <c r="E226" s="519"/>
      <c r="F226" s="530"/>
      <c r="G226" s="530"/>
      <c r="H226" s="530"/>
      <c r="I226" s="531"/>
      <c r="J226" s="532"/>
      <c r="K226" s="532"/>
      <c r="L226" s="532"/>
      <c r="M226" s="532"/>
      <c r="N226" s="532"/>
      <c r="O226" s="522"/>
      <c r="P226" s="522"/>
      <c r="Q226" s="522"/>
      <c r="R226" s="522"/>
      <c r="S226" s="522"/>
      <c r="T226" s="522"/>
      <c r="U226" s="522"/>
      <c r="Y226" s="523"/>
    </row>
    <row r="227" spans="1:25" x14ac:dyDescent="0.2">
      <c r="A227" s="519"/>
      <c r="B227" s="519"/>
      <c r="C227" s="519"/>
      <c r="D227" s="519"/>
      <c r="E227" s="519"/>
      <c r="F227" s="530"/>
      <c r="G227" s="530"/>
      <c r="H227" s="530"/>
      <c r="I227" s="531"/>
      <c r="J227" s="532"/>
      <c r="K227" s="532"/>
      <c r="L227" s="532"/>
      <c r="M227" s="532"/>
      <c r="N227" s="532"/>
      <c r="O227" s="522"/>
      <c r="P227" s="522"/>
      <c r="Q227" s="522"/>
      <c r="R227" s="522"/>
      <c r="S227" s="522"/>
      <c r="T227" s="522"/>
      <c r="U227" s="522"/>
      <c r="Y227" s="523"/>
    </row>
    <row r="228" spans="1:25" x14ac:dyDescent="0.2">
      <c r="A228" s="519"/>
      <c r="B228" s="519"/>
      <c r="C228" s="519"/>
      <c r="D228" s="519"/>
      <c r="E228" s="519"/>
      <c r="F228" s="530"/>
      <c r="G228" s="530"/>
      <c r="H228" s="530"/>
      <c r="I228" s="531"/>
      <c r="J228" s="532"/>
      <c r="K228" s="532"/>
      <c r="L228" s="532"/>
      <c r="M228" s="532"/>
      <c r="N228" s="532"/>
      <c r="O228" s="522"/>
      <c r="P228" s="522"/>
      <c r="Q228" s="522"/>
      <c r="R228" s="522"/>
      <c r="S228" s="522"/>
      <c r="T228" s="522"/>
      <c r="U228" s="522"/>
      <c r="Y228" s="523"/>
    </row>
    <row r="229" spans="1:25" x14ac:dyDescent="0.2">
      <c r="A229" s="519"/>
      <c r="B229" s="519"/>
      <c r="C229" s="519"/>
      <c r="D229" s="519"/>
      <c r="E229" s="519"/>
      <c r="F229" s="530"/>
      <c r="G229" s="530"/>
      <c r="H229" s="530"/>
      <c r="I229" s="531"/>
      <c r="J229" s="532"/>
      <c r="K229" s="532"/>
      <c r="L229" s="532"/>
      <c r="M229" s="532"/>
      <c r="N229" s="532"/>
      <c r="O229" s="522"/>
      <c r="P229" s="522"/>
      <c r="Q229" s="522"/>
      <c r="R229" s="522"/>
      <c r="S229" s="522"/>
      <c r="T229" s="522"/>
      <c r="U229" s="522"/>
      <c r="Y229" s="523"/>
    </row>
    <row r="230" spans="1:25" x14ac:dyDescent="0.2">
      <c r="A230" s="519"/>
      <c r="B230" s="519"/>
      <c r="C230" s="519"/>
      <c r="D230" s="519"/>
      <c r="E230" s="519"/>
      <c r="F230" s="530"/>
      <c r="G230" s="530"/>
      <c r="H230" s="530"/>
      <c r="I230" s="531"/>
      <c r="J230" s="532"/>
      <c r="K230" s="532"/>
      <c r="L230" s="532"/>
      <c r="M230" s="532"/>
      <c r="N230" s="532"/>
      <c r="O230" s="522"/>
      <c r="P230" s="522"/>
      <c r="Q230" s="522"/>
      <c r="R230" s="522"/>
      <c r="S230" s="522"/>
      <c r="T230" s="522"/>
      <c r="U230" s="522"/>
      <c r="Y230" s="523"/>
    </row>
    <row r="231" spans="1:25" x14ac:dyDescent="0.2">
      <c r="A231" s="519"/>
      <c r="B231" s="519"/>
      <c r="C231" s="519"/>
      <c r="D231" s="519"/>
      <c r="E231" s="519"/>
      <c r="F231" s="530"/>
      <c r="G231" s="530"/>
      <c r="H231" s="530"/>
      <c r="I231" s="531"/>
      <c r="J231" s="532"/>
      <c r="K231" s="532"/>
      <c r="L231" s="532"/>
      <c r="M231" s="532"/>
      <c r="N231" s="532"/>
      <c r="O231" s="522"/>
      <c r="P231" s="522"/>
      <c r="Q231" s="522"/>
      <c r="R231" s="522"/>
      <c r="S231" s="522"/>
      <c r="T231" s="522"/>
      <c r="U231" s="522"/>
      <c r="Y231" s="523"/>
    </row>
    <row r="232" spans="1:25" x14ac:dyDescent="0.2">
      <c r="A232" s="519"/>
      <c r="B232" s="519"/>
      <c r="C232" s="519"/>
      <c r="D232" s="519"/>
      <c r="E232" s="519"/>
      <c r="F232" s="530"/>
      <c r="G232" s="530"/>
      <c r="H232" s="530"/>
      <c r="I232" s="531"/>
      <c r="J232" s="532"/>
      <c r="K232" s="532"/>
      <c r="L232" s="532"/>
      <c r="M232" s="532"/>
      <c r="N232" s="532"/>
      <c r="O232" s="522"/>
      <c r="P232" s="522"/>
      <c r="Q232" s="522"/>
      <c r="R232" s="522"/>
      <c r="S232" s="522"/>
      <c r="T232" s="522"/>
      <c r="U232" s="522"/>
      <c r="Y232" s="523"/>
    </row>
    <row r="233" spans="1:25" x14ac:dyDescent="0.2">
      <c r="A233" s="519"/>
      <c r="B233" s="519"/>
      <c r="C233" s="519"/>
      <c r="D233" s="519"/>
      <c r="E233" s="519"/>
      <c r="F233" s="530"/>
      <c r="G233" s="530"/>
      <c r="H233" s="530"/>
      <c r="I233" s="531"/>
      <c r="J233" s="532"/>
      <c r="K233" s="532"/>
      <c r="L233" s="532"/>
      <c r="M233" s="532"/>
      <c r="N233" s="532"/>
      <c r="O233" s="522"/>
      <c r="P233" s="522"/>
      <c r="Q233" s="522"/>
      <c r="R233" s="522"/>
      <c r="S233" s="522"/>
      <c r="T233" s="522"/>
      <c r="U233" s="522"/>
      <c r="Y233" s="523"/>
    </row>
    <row r="234" spans="1:25" x14ac:dyDescent="0.2">
      <c r="A234" s="519"/>
      <c r="B234" s="519"/>
      <c r="C234" s="519"/>
      <c r="D234" s="519"/>
      <c r="E234" s="519"/>
      <c r="F234" s="530"/>
      <c r="G234" s="530"/>
      <c r="H234" s="530"/>
      <c r="I234" s="531"/>
      <c r="J234" s="532"/>
      <c r="K234" s="532"/>
      <c r="L234" s="532"/>
      <c r="M234" s="532"/>
      <c r="N234" s="532"/>
      <c r="O234" s="522"/>
      <c r="P234" s="522"/>
      <c r="Q234" s="522"/>
      <c r="R234" s="522"/>
      <c r="S234" s="522"/>
      <c r="T234" s="522"/>
      <c r="U234" s="522"/>
      <c r="Y234" s="523"/>
    </row>
    <row r="235" spans="1:25" x14ac:dyDescent="0.2">
      <c r="A235" s="519"/>
      <c r="B235" s="519"/>
      <c r="C235" s="519"/>
      <c r="D235" s="519"/>
      <c r="E235" s="519"/>
      <c r="F235" s="530"/>
      <c r="G235" s="530"/>
      <c r="H235" s="530"/>
      <c r="I235" s="531"/>
      <c r="J235" s="532"/>
      <c r="K235" s="532"/>
      <c r="L235" s="532"/>
      <c r="M235" s="532"/>
      <c r="N235" s="532"/>
      <c r="O235" s="522"/>
      <c r="P235" s="522"/>
      <c r="Q235" s="522"/>
      <c r="R235" s="522"/>
      <c r="S235" s="522"/>
      <c r="T235" s="522"/>
      <c r="U235" s="522"/>
      <c r="Y235" s="523"/>
    </row>
    <row r="236" spans="1:25" x14ac:dyDescent="0.2">
      <c r="A236" s="519"/>
      <c r="B236" s="519"/>
      <c r="C236" s="519"/>
      <c r="D236" s="519"/>
      <c r="E236" s="519"/>
      <c r="F236" s="530"/>
      <c r="G236" s="530"/>
      <c r="H236" s="530"/>
      <c r="I236" s="531"/>
      <c r="J236" s="532"/>
      <c r="K236" s="532"/>
      <c r="L236" s="532"/>
      <c r="M236" s="532"/>
      <c r="N236" s="532"/>
      <c r="O236" s="522"/>
      <c r="P236" s="522"/>
      <c r="Q236" s="522"/>
      <c r="R236" s="522"/>
      <c r="S236" s="522"/>
      <c r="T236" s="522"/>
      <c r="U236" s="522"/>
      <c r="Y236" s="523"/>
    </row>
    <row r="237" spans="1:25" x14ac:dyDescent="0.2">
      <c r="A237" s="519"/>
      <c r="B237" s="519"/>
      <c r="C237" s="519"/>
      <c r="D237" s="519"/>
      <c r="E237" s="519"/>
      <c r="F237" s="530"/>
      <c r="G237" s="530"/>
      <c r="H237" s="530"/>
      <c r="I237" s="531"/>
      <c r="J237" s="532"/>
      <c r="K237" s="532"/>
      <c r="L237" s="532"/>
      <c r="M237" s="532"/>
      <c r="N237" s="532"/>
      <c r="O237" s="522"/>
      <c r="P237" s="522"/>
      <c r="Q237" s="522"/>
      <c r="R237" s="522"/>
      <c r="S237" s="522"/>
      <c r="T237" s="522"/>
      <c r="U237" s="522"/>
      <c r="Y237" s="523"/>
    </row>
    <row r="238" spans="1:25" x14ac:dyDescent="0.2">
      <c r="A238" s="519"/>
      <c r="B238" s="519"/>
      <c r="C238" s="519"/>
      <c r="D238" s="519"/>
      <c r="E238" s="519"/>
      <c r="F238" s="530"/>
      <c r="G238" s="530"/>
      <c r="H238" s="530"/>
      <c r="I238" s="531"/>
      <c r="J238" s="532"/>
      <c r="K238" s="532"/>
      <c r="L238" s="532"/>
      <c r="M238" s="532"/>
      <c r="N238" s="532"/>
      <c r="O238" s="522"/>
      <c r="P238" s="522"/>
      <c r="Q238" s="522"/>
      <c r="R238" s="522"/>
      <c r="S238" s="522"/>
      <c r="T238" s="522"/>
      <c r="U238" s="522"/>
      <c r="Y238" s="523"/>
    </row>
    <row r="239" spans="1:25" x14ac:dyDescent="0.2">
      <c r="A239" s="519"/>
      <c r="B239" s="519"/>
      <c r="C239" s="519"/>
      <c r="D239" s="519"/>
      <c r="E239" s="519"/>
      <c r="F239" s="530"/>
      <c r="G239" s="530"/>
      <c r="H239" s="530"/>
      <c r="I239" s="531"/>
      <c r="J239" s="532"/>
      <c r="K239" s="532"/>
      <c r="L239" s="532"/>
      <c r="M239" s="532"/>
      <c r="N239" s="532"/>
      <c r="O239" s="522"/>
      <c r="P239" s="522"/>
      <c r="Q239" s="522"/>
      <c r="R239" s="522"/>
      <c r="S239" s="522"/>
      <c r="T239" s="522"/>
      <c r="U239" s="522"/>
      <c r="Y239" s="523"/>
    </row>
    <row r="240" spans="1:25" x14ac:dyDescent="0.2">
      <c r="A240" s="519"/>
      <c r="B240" s="519"/>
      <c r="C240" s="519"/>
      <c r="D240" s="519"/>
      <c r="E240" s="519"/>
      <c r="F240" s="530"/>
      <c r="G240" s="530"/>
      <c r="H240" s="530"/>
      <c r="I240" s="531"/>
      <c r="J240" s="532"/>
      <c r="K240" s="532"/>
      <c r="L240" s="532"/>
      <c r="M240" s="532"/>
      <c r="N240" s="532"/>
      <c r="O240" s="522"/>
      <c r="P240" s="522"/>
      <c r="Q240" s="522"/>
      <c r="R240" s="522"/>
      <c r="S240" s="522"/>
      <c r="T240" s="522"/>
      <c r="U240" s="522"/>
      <c r="Y240" s="523"/>
    </row>
    <row r="241" spans="1:25" x14ac:dyDescent="0.2">
      <c r="A241" s="519"/>
      <c r="B241" s="519"/>
      <c r="C241" s="519"/>
      <c r="D241" s="519"/>
      <c r="E241" s="519"/>
      <c r="F241" s="530"/>
      <c r="G241" s="530"/>
      <c r="H241" s="530"/>
      <c r="I241" s="531"/>
      <c r="J241" s="532"/>
      <c r="K241" s="532"/>
      <c r="L241" s="532"/>
      <c r="M241" s="532"/>
      <c r="N241" s="532"/>
      <c r="O241" s="522"/>
      <c r="P241" s="522"/>
      <c r="Q241" s="522"/>
      <c r="R241" s="522"/>
      <c r="S241" s="522"/>
      <c r="T241" s="522"/>
      <c r="U241" s="522"/>
      <c r="Y241" s="523"/>
    </row>
    <row r="242" spans="1:25" x14ac:dyDescent="0.2">
      <c r="A242" s="519"/>
      <c r="B242" s="519"/>
      <c r="C242" s="519"/>
      <c r="D242" s="519"/>
      <c r="E242" s="519"/>
      <c r="F242" s="530"/>
      <c r="G242" s="530"/>
      <c r="H242" s="530"/>
      <c r="I242" s="531"/>
      <c r="J242" s="532"/>
      <c r="K242" s="532"/>
      <c r="L242" s="532"/>
      <c r="M242" s="532"/>
      <c r="N242" s="532"/>
      <c r="O242" s="522"/>
      <c r="P242" s="522"/>
      <c r="Q242" s="522"/>
      <c r="R242" s="522"/>
      <c r="S242" s="522"/>
      <c r="T242" s="522"/>
      <c r="U242" s="522"/>
      <c r="Y242" s="523"/>
    </row>
    <row r="243" spans="1:25" x14ac:dyDescent="0.2">
      <c r="A243" s="519"/>
      <c r="B243" s="519"/>
      <c r="C243" s="519"/>
      <c r="D243" s="519"/>
      <c r="E243" s="519"/>
      <c r="F243" s="530"/>
      <c r="G243" s="530"/>
      <c r="H243" s="530"/>
      <c r="I243" s="531"/>
      <c r="J243" s="532"/>
      <c r="K243" s="532"/>
      <c r="L243" s="532"/>
      <c r="M243" s="532"/>
      <c r="N243" s="532"/>
      <c r="O243" s="522"/>
      <c r="P243" s="522"/>
      <c r="Q243" s="522"/>
      <c r="R243" s="522"/>
      <c r="S243" s="522"/>
      <c r="T243" s="522"/>
      <c r="U243" s="522"/>
      <c r="Y243" s="523"/>
    </row>
    <row r="244" spans="1:25" x14ac:dyDescent="0.2">
      <c r="A244" s="519"/>
      <c r="B244" s="519"/>
      <c r="C244" s="519"/>
      <c r="D244" s="519"/>
      <c r="E244" s="519"/>
      <c r="F244" s="530"/>
      <c r="G244" s="530"/>
      <c r="H244" s="530"/>
      <c r="I244" s="531"/>
      <c r="J244" s="532"/>
      <c r="K244" s="532"/>
      <c r="L244" s="532"/>
      <c r="M244" s="532"/>
      <c r="N244" s="532"/>
      <c r="O244" s="522"/>
      <c r="P244" s="522"/>
      <c r="Q244" s="522"/>
      <c r="R244" s="522"/>
      <c r="S244" s="522"/>
      <c r="T244" s="522"/>
      <c r="U244" s="522"/>
      <c r="Y244" s="523"/>
    </row>
    <row r="245" spans="1:25" x14ac:dyDescent="0.2">
      <c r="A245" s="519"/>
      <c r="B245" s="519"/>
      <c r="C245" s="519"/>
      <c r="D245" s="519"/>
      <c r="E245" s="519"/>
      <c r="F245" s="530"/>
      <c r="G245" s="530"/>
      <c r="H245" s="530"/>
      <c r="I245" s="531"/>
      <c r="J245" s="532"/>
      <c r="K245" s="532"/>
      <c r="L245" s="532"/>
      <c r="M245" s="532"/>
      <c r="N245" s="532"/>
      <c r="O245" s="522"/>
      <c r="P245" s="522"/>
      <c r="Q245" s="522"/>
      <c r="R245" s="522"/>
      <c r="S245" s="522"/>
      <c r="T245" s="522"/>
      <c r="U245" s="522"/>
      <c r="Y245" s="523"/>
    </row>
    <row r="246" spans="1:25" x14ac:dyDescent="0.2">
      <c r="A246" s="519"/>
      <c r="B246" s="519"/>
      <c r="C246" s="519"/>
      <c r="D246" s="519"/>
      <c r="E246" s="519"/>
      <c r="F246" s="530"/>
      <c r="G246" s="530"/>
      <c r="H246" s="530"/>
      <c r="I246" s="531"/>
      <c r="J246" s="532"/>
      <c r="K246" s="532"/>
      <c r="L246" s="532"/>
      <c r="M246" s="532"/>
      <c r="N246" s="532"/>
      <c r="O246" s="522"/>
      <c r="P246" s="522"/>
      <c r="Q246" s="522"/>
      <c r="R246" s="522"/>
      <c r="S246" s="522"/>
      <c r="T246" s="522"/>
      <c r="U246" s="522"/>
      <c r="Y246" s="523"/>
    </row>
    <row r="247" spans="1:25" x14ac:dyDescent="0.2">
      <c r="A247" s="519"/>
      <c r="B247" s="519"/>
      <c r="C247" s="519"/>
      <c r="D247" s="519"/>
      <c r="E247" s="519"/>
      <c r="F247" s="530"/>
      <c r="G247" s="530"/>
      <c r="H247" s="530"/>
      <c r="I247" s="531"/>
      <c r="J247" s="532"/>
      <c r="K247" s="532"/>
      <c r="L247" s="532"/>
      <c r="M247" s="532"/>
      <c r="N247" s="532"/>
      <c r="O247" s="522"/>
      <c r="P247" s="522"/>
      <c r="Q247" s="522"/>
      <c r="R247" s="522"/>
      <c r="S247" s="522"/>
      <c r="T247" s="522"/>
      <c r="U247" s="522"/>
      <c r="Y247" s="523"/>
    </row>
    <row r="248" spans="1:25" x14ac:dyDescent="0.2">
      <c r="A248" s="519"/>
      <c r="B248" s="519"/>
      <c r="C248" s="519"/>
      <c r="D248" s="519"/>
      <c r="E248" s="519"/>
      <c r="F248" s="530"/>
      <c r="G248" s="530"/>
      <c r="H248" s="530"/>
      <c r="I248" s="531"/>
      <c r="J248" s="532"/>
      <c r="K248" s="532"/>
      <c r="L248" s="532"/>
      <c r="M248" s="532"/>
      <c r="N248" s="532"/>
      <c r="O248" s="522"/>
      <c r="P248" s="522"/>
      <c r="Q248" s="522"/>
      <c r="R248" s="522"/>
      <c r="S248" s="522"/>
      <c r="T248" s="522"/>
      <c r="U248" s="522"/>
      <c r="Y248" s="523"/>
    </row>
    <row r="249" spans="1:25" x14ac:dyDescent="0.2">
      <c r="A249" s="519"/>
      <c r="B249" s="519"/>
      <c r="C249" s="519"/>
      <c r="D249" s="519"/>
      <c r="E249" s="519"/>
      <c r="F249" s="530"/>
      <c r="G249" s="530"/>
      <c r="H249" s="530"/>
      <c r="I249" s="531"/>
      <c r="J249" s="532"/>
      <c r="K249" s="532"/>
      <c r="L249" s="532"/>
      <c r="M249" s="532"/>
      <c r="N249" s="532"/>
      <c r="O249" s="522"/>
      <c r="P249" s="522"/>
      <c r="Q249" s="522"/>
      <c r="R249" s="522"/>
      <c r="S249" s="522"/>
      <c r="T249" s="522"/>
      <c r="U249" s="522"/>
      <c r="Y249" s="523"/>
    </row>
    <row r="250" spans="1:25" x14ac:dyDescent="0.2">
      <c r="A250" s="519"/>
      <c r="B250" s="519"/>
      <c r="C250" s="519"/>
      <c r="D250" s="519"/>
      <c r="E250" s="519"/>
      <c r="F250" s="530"/>
      <c r="G250" s="530"/>
      <c r="H250" s="530"/>
      <c r="I250" s="531"/>
      <c r="J250" s="532"/>
      <c r="K250" s="532"/>
      <c r="L250" s="532"/>
      <c r="M250" s="532"/>
      <c r="N250" s="532"/>
      <c r="O250" s="522"/>
      <c r="P250" s="522"/>
      <c r="Q250" s="522"/>
      <c r="R250" s="522"/>
      <c r="S250" s="522"/>
      <c r="T250" s="522"/>
      <c r="U250" s="522"/>
      <c r="Y250" s="523"/>
    </row>
    <row r="251" spans="1:25" x14ac:dyDescent="0.2">
      <c r="A251" s="519"/>
      <c r="B251" s="519"/>
      <c r="C251" s="519"/>
      <c r="D251" s="519"/>
      <c r="E251" s="519"/>
      <c r="F251" s="530"/>
      <c r="G251" s="530"/>
      <c r="H251" s="530"/>
      <c r="I251" s="531"/>
      <c r="J251" s="532"/>
      <c r="K251" s="532"/>
      <c r="L251" s="532"/>
      <c r="M251" s="532"/>
      <c r="N251" s="532"/>
      <c r="O251" s="522"/>
      <c r="P251" s="522"/>
      <c r="Q251" s="522"/>
      <c r="R251" s="522"/>
      <c r="S251" s="522"/>
      <c r="T251" s="522"/>
      <c r="U251" s="522"/>
      <c r="Y251" s="523"/>
    </row>
    <row r="252" spans="1:25" x14ac:dyDescent="0.2">
      <c r="A252" s="519"/>
      <c r="B252" s="519"/>
      <c r="C252" s="519"/>
      <c r="D252" s="519"/>
      <c r="E252" s="519"/>
      <c r="F252" s="530"/>
      <c r="G252" s="530"/>
      <c r="H252" s="530"/>
      <c r="I252" s="531"/>
      <c r="J252" s="532"/>
      <c r="K252" s="532"/>
      <c r="L252" s="532"/>
      <c r="M252" s="532"/>
      <c r="N252" s="532"/>
      <c r="O252" s="522"/>
      <c r="P252" s="522"/>
      <c r="Q252" s="522"/>
      <c r="R252" s="522"/>
      <c r="S252" s="522"/>
      <c r="T252" s="522"/>
      <c r="U252" s="522"/>
      <c r="Y252" s="523"/>
    </row>
    <row r="253" spans="1:25" x14ac:dyDescent="0.2">
      <c r="A253" s="519"/>
      <c r="B253" s="519"/>
      <c r="C253" s="519"/>
      <c r="D253" s="519"/>
      <c r="E253" s="519"/>
      <c r="F253" s="530"/>
      <c r="G253" s="530"/>
      <c r="H253" s="530"/>
      <c r="I253" s="531"/>
      <c r="J253" s="532"/>
      <c r="K253" s="532"/>
      <c r="L253" s="532"/>
      <c r="M253" s="532"/>
      <c r="N253" s="532"/>
      <c r="O253" s="522"/>
      <c r="P253" s="522"/>
      <c r="Q253" s="522"/>
      <c r="R253" s="522"/>
      <c r="S253" s="522"/>
      <c r="T253" s="522"/>
      <c r="U253" s="522"/>
      <c r="Y253" s="523"/>
    </row>
    <row r="254" spans="1:25" x14ac:dyDescent="0.2">
      <c r="A254" s="519"/>
      <c r="B254" s="519"/>
      <c r="C254" s="519"/>
      <c r="D254" s="519"/>
      <c r="E254" s="519"/>
      <c r="F254" s="530"/>
      <c r="G254" s="530"/>
      <c r="H254" s="530"/>
      <c r="I254" s="531"/>
      <c r="J254" s="532"/>
      <c r="K254" s="532"/>
      <c r="L254" s="532"/>
      <c r="M254" s="532"/>
      <c r="N254" s="532"/>
      <c r="O254" s="522"/>
      <c r="P254" s="522"/>
      <c r="Q254" s="522"/>
      <c r="R254" s="522"/>
      <c r="S254" s="522"/>
      <c r="T254" s="522"/>
      <c r="U254" s="522"/>
      <c r="Y254" s="523"/>
    </row>
    <row r="255" spans="1:25" x14ac:dyDescent="0.2">
      <c r="A255" s="519"/>
      <c r="B255" s="519"/>
      <c r="C255" s="519"/>
      <c r="D255" s="519"/>
      <c r="E255" s="519"/>
      <c r="F255" s="530"/>
      <c r="G255" s="530"/>
      <c r="H255" s="530"/>
      <c r="I255" s="531"/>
      <c r="J255" s="532"/>
      <c r="K255" s="532"/>
      <c r="L255" s="532"/>
      <c r="M255" s="532"/>
      <c r="N255" s="532"/>
      <c r="O255" s="522"/>
      <c r="P255" s="522"/>
      <c r="Q255" s="522"/>
      <c r="R255" s="522"/>
      <c r="S255" s="522"/>
      <c r="T255" s="522"/>
      <c r="U255" s="522"/>
      <c r="Y255" s="523"/>
    </row>
    <row r="256" spans="1:25" x14ac:dyDescent="0.2">
      <c r="A256" s="519"/>
      <c r="B256" s="519"/>
      <c r="C256" s="519"/>
      <c r="D256" s="519"/>
      <c r="E256" s="519"/>
      <c r="F256" s="530"/>
      <c r="G256" s="530"/>
      <c r="H256" s="530"/>
      <c r="I256" s="531"/>
      <c r="J256" s="532"/>
      <c r="K256" s="532"/>
      <c r="L256" s="532"/>
      <c r="M256" s="532"/>
      <c r="N256" s="532"/>
      <c r="O256" s="522"/>
      <c r="P256" s="522"/>
      <c r="Q256" s="522"/>
      <c r="R256" s="522"/>
      <c r="S256" s="522"/>
      <c r="T256" s="522"/>
      <c r="U256" s="522"/>
      <c r="Y256" s="523"/>
    </row>
    <row r="257" spans="1:25" x14ac:dyDescent="0.2">
      <c r="A257" s="519"/>
      <c r="B257" s="519"/>
      <c r="C257" s="519"/>
      <c r="D257" s="519"/>
      <c r="E257" s="519"/>
      <c r="F257" s="530"/>
      <c r="G257" s="530"/>
      <c r="H257" s="530"/>
      <c r="I257" s="531"/>
      <c r="J257" s="532"/>
      <c r="K257" s="532"/>
      <c r="L257" s="532"/>
      <c r="M257" s="532"/>
      <c r="N257" s="532"/>
      <c r="O257" s="522"/>
      <c r="P257" s="522"/>
      <c r="Q257" s="522"/>
      <c r="R257" s="522"/>
      <c r="S257" s="522"/>
      <c r="T257" s="522"/>
      <c r="U257" s="522"/>
      <c r="Y257" s="523"/>
    </row>
    <row r="258" spans="1:25" x14ac:dyDescent="0.2">
      <c r="A258" s="519"/>
      <c r="B258" s="519"/>
      <c r="C258" s="519"/>
      <c r="D258" s="519"/>
      <c r="E258" s="519"/>
      <c r="F258" s="530"/>
      <c r="G258" s="530"/>
      <c r="H258" s="530"/>
      <c r="I258" s="531"/>
      <c r="J258" s="532"/>
      <c r="K258" s="532"/>
      <c r="L258" s="532"/>
      <c r="M258" s="532"/>
      <c r="N258" s="532"/>
      <c r="O258" s="522"/>
      <c r="P258" s="522"/>
      <c r="Q258" s="522"/>
      <c r="R258" s="522"/>
      <c r="S258" s="522"/>
      <c r="T258" s="522"/>
      <c r="U258" s="522"/>
      <c r="Y258" s="523"/>
    </row>
    <row r="259" spans="1:25" x14ac:dyDescent="0.2">
      <c r="A259" s="519"/>
      <c r="B259" s="519"/>
      <c r="C259" s="519"/>
      <c r="D259" s="519"/>
      <c r="E259" s="519"/>
      <c r="F259" s="530"/>
      <c r="G259" s="530"/>
      <c r="H259" s="530"/>
      <c r="I259" s="531"/>
      <c r="J259" s="532"/>
      <c r="K259" s="532"/>
      <c r="L259" s="532"/>
      <c r="M259" s="532"/>
      <c r="N259" s="532"/>
      <c r="O259" s="522"/>
      <c r="P259" s="522"/>
      <c r="Q259" s="522"/>
      <c r="R259" s="522"/>
      <c r="S259" s="522"/>
      <c r="T259" s="522"/>
      <c r="U259" s="522"/>
      <c r="Y259" s="523"/>
    </row>
    <row r="260" spans="1:25" x14ac:dyDescent="0.2">
      <c r="A260" s="519"/>
      <c r="B260" s="519"/>
      <c r="C260" s="519"/>
      <c r="D260" s="519"/>
      <c r="E260" s="519"/>
      <c r="F260" s="530"/>
      <c r="G260" s="530"/>
      <c r="H260" s="530"/>
      <c r="I260" s="531"/>
      <c r="J260" s="532"/>
      <c r="K260" s="532"/>
      <c r="L260" s="532"/>
      <c r="M260" s="532"/>
      <c r="N260" s="532"/>
      <c r="O260" s="522"/>
      <c r="P260" s="522"/>
      <c r="Q260" s="522"/>
      <c r="R260" s="522"/>
      <c r="S260" s="522"/>
      <c r="T260" s="522"/>
      <c r="U260" s="522"/>
      <c r="Y260" s="523"/>
    </row>
    <row r="261" spans="1:25" x14ac:dyDescent="0.2">
      <c r="A261" s="519"/>
      <c r="B261" s="519"/>
      <c r="C261" s="519"/>
      <c r="D261" s="519"/>
      <c r="E261" s="519"/>
      <c r="F261" s="530"/>
      <c r="G261" s="530"/>
      <c r="H261" s="530"/>
      <c r="I261" s="531"/>
      <c r="J261" s="532"/>
      <c r="K261" s="532"/>
      <c r="L261" s="532"/>
      <c r="M261" s="532"/>
      <c r="N261" s="532"/>
      <c r="O261" s="522"/>
      <c r="P261" s="522"/>
      <c r="Q261" s="522"/>
      <c r="R261" s="522"/>
      <c r="S261" s="522"/>
      <c r="T261" s="522"/>
      <c r="U261" s="522"/>
      <c r="Y261" s="523"/>
    </row>
    <row r="262" spans="1:25" x14ac:dyDescent="0.2">
      <c r="A262" s="519"/>
      <c r="B262" s="519"/>
      <c r="C262" s="519"/>
      <c r="D262" s="519"/>
      <c r="E262" s="519"/>
      <c r="F262" s="530"/>
      <c r="G262" s="530"/>
      <c r="H262" s="530"/>
      <c r="I262" s="531"/>
      <c r="J262" s="532"/>
      <c r="K262" s="532"/>
      <c r="L262" s="532"/>
      <c r="M262" s="532"/>
      <c r="N262" s="532"/>
      <c r="O262" s="522"/>
      <c r="P262" s="522"/>
      <c r="Q262" s="522"/>
      <c r="R262" s="522"/>
      <c r="S262" s="522"/>
      <c r="T262" s="522"/>
      <c r="U262" s="522"/>
      <c r="Y262" s="523"/>
    </row>
    <row r="263" spans="1:25" x14ac:dyDescent="0.2">
      <c r="A263" s="519"/>
      <c r="B263" s="519"/>
      <c r="C263" s="519"/>
      <c r="D263" s="519"/>
      <c r="E263" s="519"/>
      <c r="F263" s="530"/>
      <c r="G263" s="530"/>
      <c r="H263" s="530"/>
      <c r="I263" s="531"/>
      <c r="J263" s="532"/>
      <c r="K263" s="532"/>
      <c r="L263" s="532"/>
      <c r="M263" s="532"/>
      <c r="N263" s="532"/>
      <c r="O263" s="522"/>
      <c r="P263" s="522"/>
      <c r="Q263" s="522"/>
      <c r="R263" s="522"/>
      <c r="S263" s="522"/>
      <c r="T263" s="522"/>
      <c r="U263" s="522"/>
      <c r="Y263" s="523"/>
    </row>
    <row r="264" spans="1:25" x14ac:dyDescent="0.2">
      <c r="A264" s="519"/>
      <c r="B264" s="519"/>
      <c r="C264" s="519"/>
      <c r="D264" s="519"/>
      <c r="E264" s="519"/>
      <c r="F264" s="530"/>
      <c r="G264" s="530"/>
      <c r="H264" s="530"/>
      <c r="I264" s="531"/>
      <c r="J264" s="532"/>
      <c r="K264" s="532"/>
      <c r="L264" s="532"/>
      <c r="M264" s="532"/>
      <c r="N264" s="532"/>
      <c r="O264" s="522"/>
      <c r="P264" s="522"/>
      <c r="Q264" s="522"/>
      <c r="R264" s="522"/>
      <c r="S264" s="522"/>
      <c r="T264" s="522"/>
      <c r="U264" s="522"/>
      <c r="Y264" s="523"/>
    </row>
    <row r="265" spans="1:25" x14ac:dyDescent="0.2">
      <c r="A265" s="519"/>
      <c r="B265" s="519"/>
      <c r="C265" s="519"/>
      <c r="D265" s="519"/>
      <c r="E265" s="519"/>
      <c r="F265" s="530"/>
      <c r="G265" s="530"/>
      <c r="H265" s="530"/>
      <c r="I265" s="531"/>
      <c r="J265" s="532"/>
      <c r="K265" s="532"/>
      <c r="L265" s="532"/>
      <c r="M265" s="532"/>
      <c r="N265" s="532"/>
      <c r="O265" s="522"/>
      <c r="P265" s="522"/>
      <c r="Q265" s="522"/>
      <c r="R265" s="522"/>
      <c r="S265" s="522"/>
      <c r="T265" s="522"/>
      <c r="U265" s="522"/>
      <c r="Y265" s="523"/>
    </row>
    <row r="266" spans="1:25" x14ac:dyDescent="0.2">
      <c r="A266" s="519"/>
      <c r="B266" s="519"/>
      <c r="C266" s="519"/>
      <c r="D266" s="519"/>
      <c r="E266" s="519"/>
      <c r="F266" s="530"/>
      <c r="G266" s="530"/>
      <c r="H266" s="530"/>
      <c r="I266" s="531"/>
      <c r="J266" s="532"/>
      <c r="K266" s="532"/>
      <c r="L266" s="532"/>
      <c r="M266" s="532"/>
      <c r="N266" s="532"/>
      <c r="O266" s="522"/>
      <c r="P266" s="522"/>
      <c r="Q266" s="522"/>
      <c r="R266" s="522"/>
      <c r="S266" s="522"/>
      <c r="T266" s="522"/>
      <c r="U266" s="522"/>
      <c r="Y266" s="523"/>
    </row>
    <row r="267" spans="1:25" x14ac:dyDescent="0.2">
      <c r="A267" s="519"/>
      <c r="B267" s="519"/>
      <c r="C267" s="519"/>
      <c r="D267" s="519"/>
      <c r="E267" s="519"/>
      <c r="F267" s="530"/>
      <c r="G267" s="530"/>
      <c r="H267" s="530"/>
      <c r="I267" s="531"/>
      <c r="J267" s="532"/>
      <c r="K267" s="532"/>
      <c r="L267" s="532"/>
      <c r="M267" s="532"/>
      <c r="N267" s="532"/>
      <c r="O267" s="522"/>
      <c r="P267" s="522"/>
      <c r="Q267" s="522"/>
      <c r="R267" s="522"/>
      <c r="S267" s="522"/>
      <c r="T267" s="522"/>
      <c r="U267" s="522"/>
      <c r="Y267" s="523"/>
    </row>
    <row r="268" spans="1:25" x14ac:dyDescent="0.2">
      <c r="A268" s="519"/>
      <c r="B268" s="519"/>
      <c r="C268" s="519"/>
      <c r="D268" s="519"/>
      <c r="E268" s="519"/>
      <c r="F268" s="530"/>
      <c r="G268" s="530"/>
      <c r="H268" s="530"/>
      <c r="I268" s="531"/>
      <c r="J268" s="532"/>
      <c r="K268" s="532"/>
      <c r="L268" s="532"/>
      <c r="M268" s="532"/>
      <c r="N268" s="532"/>
      <c r="O268" s="522"/>
      <c r="P268" s="522"/>
      <c r="Q268" s="522"/>
      <c r="R268" s="522"/>
      <c r="S268" s="522"/>
      <c r="T268" s="522"/>
      <c r="U268" s="522"/>
      <c r="Y268" s="523"/>
    </row>
    <row r="269" spans="1:25" x14ac:dyDescent="0.2">
      <c r="A269" s="519"/>
      <c r="B269" s="519"/>
      <c r="C269" s="519"/>
      <c r="D269" s="519"/>
      <c r="E269" s="519"/>
      <c r="F269" s="530"/>
      <c r="G269" s="530"/>
      <c r="H269" s="530"/>
      <c r="I269" s="531"/>
      <c r="J269" s="532"/>
      <c r="K269" s="532"/>
      <c r="L269" s="532"/>
      <c r="M269" s="532"/>
      <c r="N269" s="532"/>
      <c r="O269" s="522"/>
      <c r="P269" s="522"/>
      <c r="Q269" s="522"/>
      <c r="R269" s="522"/>
      <c r="S269" s="522"/>
      <c r="T269" s="522"/>
      <c r="U269" s="522"/>
      <c r="Y269" s="523"/>
    </row>
    <row r="270" spans="1:25" x14ac:dyDescent="0.2">
      <c r="A270" s="519"/>
      <c r="B270" s="519"/>
      <c r="C270" s="519"/>
      <c r="D270" s="519"/>
      <c r="E270" s="519"/>
      <c r="F270" s="530"/>
      <c r="G270" s="530"/>
      <c r="H270" s="530"/>
      <c r="I270" s="531"/>
      <c r="J270" s="532"/>
      <c r="K270" s="532"/>
      <c r="L270" s="532"/>
      <c r="M270" s="532"/>
      <c r="N270" s="532"/>
      <c r="O270" s="522"/>
      <c r="P270" s="522"/>
      <c r="Q270" s="522"/>
      <c r="R270" s="522"/>
      <c r="S270" s="522"/>
      <c r="T270" s="522"/>
      <c r="U270" s="522"/>
      <c r="Y270" s="523"/>
    </row>
    <row r="271" spans="1:25" x14ac:dyDescent="0.2">
      <c r="A271" s="519"/>
      <c r="B271" s="519"/>
      <c r="C271" s="519"/>
      <c r="D271" s="519"/>
      <c r="E271" s="519"/>
      <c r="F271" s="530"/>
      <c r="G271" s="530"/>
      <c r="H271" s="530"/>
      <c r="I271" s="531"/>
      <c r="J271" s="532"/>
      <c r="K271" s="532"/>
      <c r="L271" s="532"/>
      <c r="M271" s="532"/>
      <c r="N271" s="532"/>
      <c r="O271" s="522"/>
      <c r="P271" s="522"/>
      <c r="Q271" s="522"/>
      <c r="R271" s="522"/>
      <c r="S271" s="522"/>
      <c r="T271" s="522"/>
      <c r="U271" s="522"/>
      <c r="Y271" s="523"/>
    </row>
    <row r="272" spans="1:25" x14ac:dyDescent="0.2">
      <c r="A272" s="519"/>
      <c r="B272" s="519"/>
      <c r="C272" s="519"/>
      <c r="D272" s="519"/>
      <c r="E272" s="519"/>
      <c r="F272" s="530"/>
      <c r="G272" s="530"/>
      <c r="H272" s="530"/>
      <c r="I272" s="531"/>
      <c r="J272" s="532"/>
      <c r="K272" s="532"/>
      <c r="L272" s="532"/>
      <c r="M272" s="532"/>
      <c r="N272" s="532"/>
      <c r="O272" s="522"/>
      <c r="P272" s="522"/>
      <c r="Q272" s="522"/>
      <c r="R272" s="522"/>
      <c r="S272" s="522"/>
      <c r="T272" s="522"/>
      <c r="U272" s="522"/>
      <c r="Y272" s="523"/>
    </row>
    <row r="273" spans="1:25" x14ac:dyDescent="0.2">
      <c r="A273" s="519"/>
      <c r="B273" s="519"/>
      <c r="C273" s="519"/>
      <c r="D273" s="519"/>
      <c r="E273" s="519"/>
      <c r="F273" s="530"/>
      <c r="G273" s="530"/>
      <c r="H273" s="530"/>
      <c r="I273" s="531"/>
      <c r="J273" s="532"/>
      <c r="K273" s="532"/>
      <c r="L273" s="532"/>
      <c r="M273" s="532"/>
      <c r="N273" s="532"/>
      <c r="O273" s="522"/>
      <c r="P273" s="522"/>
      <c r="Q273" s="522"/>
      <c r="R273" s="522"/>
      <c r="S273" s="522"/>
      <c r="T273" s="522"/>
      <c r="U273" s="522"/>
      <c r="Y273" s="523"/>
    </row>
    <row r="274" spans="1:25" x14ac:dyDescent="0.2">
      <c r="A274" s="519"/>
      <c r="B274" s="519"/>
      <c r="C274" s="519"/>
      <c r="D274" s="519"/>
      <c r="E274" s="519"/>
      <c r="F274" s="530"/>
      <c r="G274" s="530"/>
      <c r="H274" s="530"/>
      <c r="I274" s="531"/>
      <c r="J274" s="532"/>
      <c r="K274" s="532"/>
      <c r="L274" s="532"/>
      <c r="M274" s="532"/>
      <c r="N274" s="532"/>
      <c r="O274" s="522"/>
      <c r="P274" s="522"/>
      <c r="Q274" s="522"/>
      <c r="R274" s="522"/>
      <c r="S274" s="522"/>
      <c r="T274" s="522"/>
      <c r="U274" s="522"/>
      <c r="Y274" s="523"/>
    </row>
    <row r="275" spans="1:25" x14ac:dyDescent="0.2">
      <c r="A275" s="519"/>
      <c r="B275" s="519"/>
      <c r="C275" s="519"/>
      <c r="D275" s="519"/>
      <c r="E275" s="519"/>
      <c r="F275" s="530"/>
      <c r="G275" s="530"/>
      <c r="H275" s="530"/>
      <c r="I275" s="531"/>
      <c r="J275" s="532"/>
      <c r="K275" s="532"/>
      <c r="L275" s="532"/>
      <c r="M275" s="532"/>
      <c r="N275" s="532"/>
      <c r="O275" s="522"/>
      <c r="P275" s="522"/>
      <c r="Q275" s="522"/>
      <c r="R275" s="522"/>
      <c r="S275" s="522"/>
      <c r="T275" s="522"/>
      <c r="U275" s="522"/>
      <c r="Y275" s="523"/>
    </row>
    <row r="276" spans="1:25" x14ac:dyDescent="0.2">
      <c r="A276" s="519"/>
      <c r="B276" s="519"/>
      <c r="C276" s="519"/>
      <c r="D276" s="519"/>
      <c r="E276" s="519"/>
      <c r="F276" s="530"/>
      <c r="G276" s="530"/>
      <c r="H276" s="530"/>
      <c r="I276" s="531"/>
      <c r="J276" s="532"/>
      <c r="K276" s="532"/>
      <c r="L276" s="532"/>
      <c r="M276" s="532"/>
      <c r="N276" s="532"/>
      <c r="O276" s="522"/>
      <c r="P276" s="522"/>
      <c r="Q276" s="522"/>
      <c r="R276" s="522"/>
      <c r="S276" s="522"/>
      <c r="T276" s="522"/>
      <c r="U276" s="522"/>
      <c r="Y276" s="523"/>
    </row>
    <row r="277" spans="1:25" x14ac:dyDescent="0.2">
      <c r="A277" s="519"/>
      <c r="B277" s="519"/>
      <c r="C277" s="519"/>
      <c r="D277" s="519"/>
      <c r="E277" s="519"/>
      <c r="F277" s="530"/>
      <c r="G277" s="530"/>
      <c r="H277" s="530"/>
      <c r="I277" s="531"/>
      <c r="J277" s="532"/>
      <c r="K277" s="532"/>
      <c r="L277" s="532"/>
      <c r="M277" s="532"/>
      <c r="N277" s="532"/>
      <c r="O277" s="522"/>
      <c r="P277" s="522"/>
      <c r="Q277" s="522"/>
      <c r="R277" s="522"/>
      <c r="S277" s="522"/>
      <c r="T277" s="522"/>
      <c r="U277" s="522"/>
      <c r="Y277" s="523"/>
    </row>
    <row r="278" spans="1:25" x14ac:dyDescent="0.2">
      <c r="A278" s="519"/>
      <c r="B278" s="519"/>
      <c r="C278" s="519"/>
      <c r="D278" s="519"/>
      <c r="E278" s="519"/>
      <c r="F278" s="530"/>
      <c r="G278" s="530"/>
      <c r="H278" s="530"/>
      <c r="I278" s="531"/>
      <c r="J278" s="532"/>
      <c r="K278" s="532"/>
      <c r="L278" s="532"/>
      <c r="M278" s="532"/>
      <c r="N278" s="532"/>
      <c r="O278" s="522"/>
      <c r="P278" s="522"/>
      <c r="Q278" s="522"/>
      <c r="R278" s="522"/>
      <c r="S278" s="522"/>
      <c r="T278" s="522"/>
      <c r="U278" s="522"/>
      <c r="Y278" s="523"/>
    </row>
    <row r="279" spans="1:25" x14ac:dyDescent="0.2">
      <c r="A279" s="519"/>
      <c r="B279" s="519"/>
      <c r="C279" s="519"/>
      <c r="D279" s="519"/>
      <c r="E279" s="519"/>
      <c r="F279" s="530"/>
      <c r="G279" s="530"/>
      <c r="H279" s="530"/>
      <c r="I279" s="531"/>
      <c r="J279" s="532"/>
      <c r="K279" s="532"/>
      <c r="L279" s="532"/>
      <c r="M279" s="532"/>
      <c r="N279" s="532"/>
      <c r="O279" s="522"/>
      <c r="P279" s="522"/>
      <c r="Q279" s="522"/>
      <c r="R279" s="522"/>
      <c r="S279" s="522"/>
      <c r="T279" s="522"/>
      <c r="U279" s="522"/>
      <c r="Y279" s="523"/>
    </row>
    <row r="280" spans="1:25" x14ac:dyDescent="0.2">
      <c r="A280" s="519"/>
      <c r="B280" s="519"/>
      <c r="C280" s="519"/>
      <c r="D280" s="519"/>
      <c r="E280" s="519"/>
      <c r="F280" s="530"/>
      <c r="G280" s="530"/>
      <c r="H280" s="530"/>
      <c r="I280" s="531"/>
      <c r="J280" s="532"/>
      <c r="K280" s="532"/>
      <c r="L280" s="532"/>
      <c r="M280" s="532"/>
      <c r="N280" s="532"/>
      <c r="O280" s="522"/>
      <c r="P280" s="522"/>
      <c r="Q280" s="522"/>
      <c r="R280" s="522"/>
      <c r="S280" s="522"/>
      <c r="T280" s="522"/>
      <c r="U280" s="522"/>
      <c r="Y280" s="523"/>
    </row>
    <row r="281" spans="1:25" x14ac:dyDescent="0.2">
      <c r="A281" s="519"/>
      <c r="B281" s="519"/>
      <c r="C281" s="519"/>
      <c r="D281" s="519"/>
      <c r="E281" s="519"/>
      <c r="F281" s="530"/>
      <c r="G281" s="530"/>
      <c r="H281" s="530"/>
      <c r="I281" s="531"/>
      <c r="J281" s="532"/>
      <c r="K281" s="532"/>
      <c r="L281" s="532"/>
      <c r="M281" s="532"/>
      <c r="N281" s="532"/>
      <c r="O281" s="522"/>
      <c r="P281" s="522"/>
      <c r="Q281" s="522"/>
      <c r="R281" s="522"/>
      <c r="S281" s="522"/>
      <c r="T281" s="522"/>
      <c r="U281" s="522"/>
      <c r="Y281" s="523"/>
    </row>
    <row r="282" spans="1:25" x14ac:dyDescent="0.2">
      <c r="A282" s="519"/>
      <c r="B282" s="519"/>
      <c r="C282" s="519"/>
      <c r="D282" s="519"/>
      <c r="E282" s="519"/>
      <c r="F282" s="530"/>
      <c r="G282" s="530"/>
      <c r="H282" s="530"/>
      <c r="I282" s="531"/>
      <c r="J282" s="532"/>
      <c r="K282" s="532"/>
      <c r="L282" s="532"/>
      <c r="M282" s="532"/>
      <c r="N282" s="532"/>
      <c r="O282" s="522"/>
      <c r="P282" s="522"/>
      <c r="Q282" s="522"/>
      <c r="R282" s="522"/>
      <c r="S282" s="522"/>
      <c r="T282" s="522"/>
      <c r="U282" s="522"/>
      <c r="Y282" s="523"/>
    </row>
    <row r="283" spans="1:25" x14ac:dyDescent="0.2">
      <c r="A283" s="519"/>
      <c r="B283" s="519"/>
      <c r="C283" s="519"/>
      <c r="D283" s="519"/>
      <c r="E283" s="519"/>
      <c r="F283" s="530"/>
      <c r="G283" s="530"/>
      <c r="H283" s="530"/>
      <c r="I283" s="531"/>
      <c r="J283" s="532"/>
      <c r="K283" s="532"/>
      <c r="L283" s="532"/>
      <c r="M283" s="532"/>
      <c r="N283" s="532"/>
      <c r="O283" s="522"/>
      <c r="P283" s="522"/>
      <c r="Q283" s="522"/>
      <c r="R283" s="522"/>
      <c r="S283" s="522"/>
      <c r="T283" s="522"/>
      <c r="U283" s="522"/>
      <c r="Y283" s="523"/>
    </row>
    <row r="284" spans="1:25" x14ac:dyDescent="0.2">
      <c r="A284" s="519"/>
      <c r="B284" s="519"/>
      <c r="C284" s="519"/>
      <c r="D284" s="519"/>
      <c r="E284" s="519"/>
      <c r="F284" s="530"/>
      <c r="G284" s="530"/>
      <c r="H284" s="530"/>
      <c r="I284" s="531"/>
      <c r="J284" s="532"/>
      <c r="K284" s="532"/>
      <c r="L284" s="532"/>
      <c r="M284" s="532"/>
      <c r="N284" s="532"/>
      <c r="O284" s="522"/>
      <c r="P284" s="522"/>
      <c r="Q284" s="522"/>
      <c r="R284" s="522"/>
      <c r="S284" s="522"/>
      <c r="T284" s="522"/>
      <c r="U284" s="522"/>
      <c r="Y284" s="523"/>
    </row>
    <row r="285" spans="1:25" x14ac:dyDescent="0.2">
      <c r="A285" s="519"/>
      <c r="B285" s="519"/>
      <c r="C285" s="519"/>
      <c r="D285" s="519"/>
      <c r="E285" s="519"/>
      <c r="F285" s="530"/>
      <c r="G285" s="530"/>
      <c r="H285" s="530"/>
      <c r="I285" s="531"/>
      <c r="J285" s="532"/>
      <c r="K285" s="532"/>
      <c r="L285" s="532"/>
      <c r="M285" s="532"/>
      <c r="N285" s="532"/>
      <c r="O285" s="522"/>
      <c r="P285" s="522"/>
      <c r="Q285" s="522"/>
      <c r="R285" s="522"/>
      <c r="S285" s="522"/>
      <c r="T285" s="522"/>
      <c r="U285" s="522"/>
      <c r="Y285" s="523"/>
    </row>
    <row r="286" spans="1:25" x14ac:dyDescent="0.2">
      <c r="A286" s="519"/>
      <c r="B286" s="519"/>
      <c r="C286" s="519"/>
      <c r="D286" s="519"/>
      <c r="E286" s="519"/>
      <c r="F286" s="530"/>
      <c r="G286" s="530"/>
      <c r="H286" s="530"/>
      <c r="I286" s="531"/>
      <c r="J286" s="532"/>
      <c r="K286" s="532"/>
      <c r="L286" s="532"/>
      <c r="M286" s="532"/>
      <c r="N286" s="532"/>
      <c r="O286" s="522"/>
      <c r="P286" s="522"/>
      <c r="Q286" s="522"/>
      <c r="R286" s="522"/>
      <c r="S286" s="522"/>
      <c r="T286" s="522"/>
      <c r="U286" s="522"/>
      <c r="Y286" s="523"/>
    </row>
    <row r="287" spans="1:25" x14ac:dyDescent="0.2">
      <c r="A287" s="519"/>
      <c r="B287" s="519"/>
      <c r="C287" s="519"/>
      <c r="D287" s="519"/>
      <c r="E287" s="519"/>
      <c r="F287" s="530"/>
      <c r="G287" s="530"/>
      <c r="H287" s="530"/>
      <c r="I287" s="531"/>
      <c r="J287" s="532"/>
      <c r="K287" s="532"/>
      <c r="L287" s="532"/>
      <c r="M287" s="532"/>
      <c r="N287" s="532"/>
      <c r="O287" s="522"/>
      <c r="P287" s="522"/>
      <c r="Q287" s="522"/>
      <c r="R287" s="522"/>
      <c r="S287" s="522"/>
      <c r="T287" s="522"/>
      <c r="U287" s="522"/>
      <c r="Y287" s="523"/>
    </row>
    <row r="288" spans="1:25" x14ac:dyDescent="0.2">
      <c r="A288" s="519"/>
      <c r="B288" s="519"/>
      <c r="C288" s="519"/>
      <c r="D288" s="519"/>
      <c r="E288" s="519"/>
      <c r="F288" s="530"/>
      <c r="G288" s="530"/>
      <c r="H288" s="530"/>
      <c r="I288" s="531"/>
      <c r="J288" s="532"/>
      <c r="K288" s="532"/>
      <c r="L288" s="532"/>
      <c r="M288" s="532"/>
      <c r="N288" s="532"/>
      <c r="O288" s="522"/>
      <c r="P288" s="522"/>
      <c r="Q288" s="522"/>
      <c r="R288" s="522"/>
      <c r="S288" s="522"/>
      <c r="T288" s="522"/>
      <c r="U288" s="522"/>
      <c r="Y288" s="523"/>
    </row>
    <row r="289" spans="1:25" x14ac:dyDescent="0.2">
      <c r="A289" s="519"/>
      <c r="B289" s="519"/>
      <c r="C289" s="519"/>
      <c r="D289" s="519"/>
      <c r="E289" s="519"/>
      <c r="F289" s="530"/>
      <c r="G289" s="530"/>
      <c r="H289" s="530"/>
      <c r="I289" s="531"/>
      <c r="J289" s="532"/>
      <c r="K289" s="532"/>
      <c r="L289" s="532"/>
      <c r="M289" s="532"/>
      <c r="N289" s="532"/>
      <c r="O289" s="522"/>
      <c r="P289" s="522"/>
      <c r="Q289" s="522"/>
      <c r="R289" s="522"/>
      <c r="S289" s="522"/>
      <c r="T289" s="522"/>
      <c r="U289" s="522"/>
      <c r="Y289" s="523"/>
    </row>
    <row r="290" spans="1:25" x14ac:dyDescent="0.2">
      <c r="A290" s="519"/>
      <c r="B290" s="519"/>
      <c r="C290" s="519"/>
      <c r="D290" s="519"/>
      <c r="E290" s="519"/>
      <c r="F290" s="530"/>
      <c r="G290" s="530"/>
      <c r="H290" s="530"/>
      <c r="I290" s="531"/>
      <c r="J290" s="532"/>
      <c r="K290" s="532"/>
      <c r="L290" s="532"/>
      <c r="M290" s="532"/>
      <c r="N290" s="532"/>
      <c r="O290" s="522"/>
      <c r="P290" s="522"/>
      <c r="Q290" s="522"/>
      <c r="R290" s="522"/>
      <c r="S290" s="522"/>
      <c r="T290" s="522"/>
      <c r="U290" s="522"/>
      <c r="Y290" s="523"/>
    </row>
    <row r="291" spans="1:25" x14ac:dyDescent="0.2">
      <c r="A291" s="519"/>
      <c r="B291" s="519"/>
      <c r="C291" s="519"/>
      <c r="D291" s="519"/>
      <c r="E291" s="519"/>
      <c r="F291" s="530"/>
      <c r="G291" s="530"/>
      <c r="H291" s="530"/>
      <c r="I291" s="531"/>
      <c r="J291" s="532"/>
      <c r="K291" s="532"/>
      <c r="L291" s="532"/>
      <c r="M291" s="532"/>
      <c r="N291" s="532"/>
      <c r="O291" s="522"/>
      <c r="P291" s="522"/>
      <c r="Q291" s="522"/>
      <c r="R291" s="522"/>
      <c r="S291" s="522"/>
      <c r="T291" s="522"/>
      <c r="U291" s="522"/>
      <c r="Y291" s="523"/>
    </row>
    <row r="292" spans="1:25" x14ac:dyDescent="0.2">
      <c r="A292" s="519"/>
      <c r="B292" s="519"/>
      <c r="C292" s="519"/>
      <c r="D292" s="519"/>
      <c r="E292" s="519"/>
      <c r="F292" s="530"/>
      <c r="G292" s="530"/>
      <c r="H292" s="530"/>
      <c r="I292" s="531"/>
      <c r="J292" s="532"/>
      <c r="K292" s="532"/>
      <c r="L292" s="532"/>
      <c r="M292" s="532"/>
      <c r="N292" s="532"/>
      <c r="O292" s="522"/>
      <c r="P292" s="522"/>
      <c r="Q292" s="522"/>
      <c r="R292" s="522"/>
      <c r="S292" s="522"/>
      <c r="T292" s="522"/>
      <c r="U292" s="522"/>
      <c r="Y292" s="523"/>
    </row>
    <row r="293" spans="1:25" x14ac:dyDescent="0.2">
      <c r="A293" s="519"/>
      <c r="B293" s="519"/>
      <c r="C293" s="519"/>
      <c r="D293" s="519"/>
      <c r="E293" s="519"/>
      <c r="F293" s="530"/>
      <c r="G293" s="530"/>
      <c r="H293" s="530"/>
      <c r="I293" s="531"/>
      <c r="J293" s="532"/>
      <c r="K293" s="532"/>
      <c r="L293" s="532"/>
      <c r="M293" s="532"/>
      <c r="N293" s="532"/>
      <c r="O293" s="522"/>
      <c r="P293" s="522"/>
      <c r="Q293" s="522"/>
      <c r="R293" s="522"/>
      <c r="S293" s="522"/>
      <c r="T293" s="522"/>
      <c r="U293" s="522"/>
      <c r="Y293" s="523"/>
    </row>
    <row r="294" spans="1:25" x14ac:dyDescent="0.2">
      <c r="A294" s="519"/>
      <c r="B294" s="519"/>
      <c r="C294" s="519"/>
      <c r="D294" s="519"/>
      <c r="E294" s="519"/>
      <c r="F294" s="530"/>
      <c r="G294" s="530"/>
      <c r="H294" s="530"/>
      <c r="I294" s="531"/>
      <c r="J294" s="532"/>
      <c r="K294" s="532"/>
      <c r="L294" s="532"/>
      <c r="M294" s="532"/>
      <c r="N294" s="532"/>
      <c r="O294" s="522"/>
      <c r="P294" s="522"/>
      <c r="Q294" s="522"/>
      <c r="R294" s="522"/>
      <c r="S294" s="522"/>
      <c r="T294" s="522"/>
      <c r="U294" s="522"/>
      <c r="Y294" s="523"/>
    </row>
    <row r="295" spans="1:25" x14ac:dyDescent="0.2">
      <c r="A295" s="519"/>
      <c r="B295" s="519"/>
      <c r="C295" s="519"/>
      <c r="D295" s="519"/>
      <c r="E295" s="519"/>
      <c r="F295" s="530"/>
      <c r="G295" s="530"/>
      <c r="H295" s="530"/>
      <c r="I295" s="531"/>
      <c r="J295" s="532"/>
      <c r="K295" s="532"/>
      <c r="L295" s="532"/>
      <c r="M295" s="532"/>
      <c r="N295" s="532"/>
      <c r="O295" s="522"/>
      <c r="P295" s="522"/>
      <c r="Q295" s="522"/>
      <c r="R295" s="522"/>
      <c r="S295" s="522"/>
      <c r="T295" s="522"/>
      <c r="U295" s="522"/>
      <c r="Y295" s="523"/>
    </row>
    <row r="296" spans="1:25" x14ac:dyDescent="0.2">
      <c r="A296" s="519"/>
      <c r="B296" s="519"/>
      <c r="C296" s="519"/>
      <c r="D296" s="519"/>
      <c r="E296" s="519"/>
      <c r="F296" s="530"/>
      <c r="G296" s="530"/>
      <c r="H296" s="530"/>
      <c r="I296" s="531"/>
      <c r="J296" s="532"/>
      <c r="K296" s="532"/>
      <c r="L296" s="532"/>
      <c r="M296" s="532"/>
      <c r="N296" s="532"/>
      <c r="O296" s="522"/>
      <c r="P296" s="522"/>
      <c r="Q296" s="522"/>
      <c r="R296" s="522"/>
      <c r="S296" s="522"/>
      <c r="T296" s="522"/>
      <c r="U296" s="522"/>
      <c r="Y296" s="523"/>
    </row>
    <row r="297" spans="1:25" x14ac:dyDescent="0.2">
      <c r="A297" s="519"/>
      <c r="B297" s="519"/>
      <c r="C297" s="519"/>
      <c r="D297" s="519"/>
      <c r="E297" s="519"/>
      <c r="F297" s="530"/>
      <c r="G297" s="530"/>
      <c r="H297" s="530"/>
      <c r="I297" s="531"/>
      <c r="J297" s="532"/>
      <c r="K297" s="532"/>
      <c r="L297" s="532"/>
      <c r="M297" s="532"/>
      <c r="N297" s="532"/>
      <c r="O297" s="522"/>
      <c r="P297" s="522"/>
      <c r="Q297" s="522"/>
      <c r="R297" s="522"/>
      <c r="S297" s="522"/>
      <c r="T297" s="522"/>
      <c r="U297" s="522"/>
      <c r="Y297" s="523"/>
    </row>
    <row r="298" spans="1:25" x14ac:dyDescent="0.2">
      <c r="A298" s="519"/>
      <c r="B298" s="519"/>
      <c r="C298" s="519"/>
      <c r="D298" s="519"/>
      <c r="E298" s="519"/>
      <c r="F298" s="530"/>
      <c r="G298" s="530"/>
      <c r="H298" s="530"/>
      <c r="I298" s="531"/>
      <c r="J298" s="532"/>
      <c r="K298" s="532"/>
      <c r="L298" s="532"/>
      <c r="M298" s="532"/>
      <c r="N298" s="532"/>
      <c r="O298" s="522"/>
      <c r="P298" s="522"/>
      <c r="Q298" s="522"/>
      <c r="R298" s="522"/>
      <c r="S298" s="522"/>
      <c r="T298" s="522"/>
      <c r="U298" s="522"/>
      <c r="Y298" s="523"/>
    </row>
    <row r="299" spans="1:25" x14ac:dyDescent="0.2">
      <c r="A299" s="519"/>
      <c r="B299" s="519"/>
      <c r="C299" s="519"/>
      <c r="D299" s="519"/>
      <c r="E299" s="519"/>
      <c r="F299" s="530"/>
      <c r="G299" s="530"/>
      <c r="H299" s="530"/>
      <c r="I299" s="531"/>
      <c r="J299" s="532"/>
      <c r="K299" s="532"/>
      <c r="L299" s="532"/>
      <c r="M299" s="532"/>
      <c r="N299" s="532"/>
      <c r="O299" s="522"/>
      <c r="P299" s="522"/>
      <c r="Q299" s="522"/>
      <c r="R299" s="522"/>
      <c r="S299" s="522"/>
      <c r="T299" s="522"/>
      <c r="U299" s="522"/>
      <c r="Y299" s="523"/>
    </row>
    <row r="300" spans="1:25" x14ac:dyDescent="0.2">
      <c r="A300" s="519"/>
      <c r="B300" s="519"/>
      <c r="C300" s="519"/>
      <c r="D300" s="519"/>
      <c r="E300" s="519"/>
      <c r="F300" s="530"/>
      <c r="G300" s="530"/>
      <c r="H300" s="530"/>
      <c r="I300" s="531"/>
      <c r="J300" s="532"/>
      <c r="K300" s="532"/>
      <c r="L300" s="532"/>
      <c r="M300" s="532"/>
      <c r="N300" s="532"/>
      <c r="O300" s="522"/>
      <c r="P300" s="522"/>
      <c r="Q300" s="522"/>
      <c r="R300" s="522"/>
      <c r="S300" s="522"/>
      <c r="T300" s="522"/>
      <c r="U300" s="522"/>
      <c r="Y300" s="523"/>
    </row>
    <row r="301" spans="1:25" x14ac:dyDescent="0.2">
      <c r="A301" s="519"/>
      <c r="B301" s="519"/>
      <c r="C301" s="519"/>
      <c r="D301" s="519"/>
      <c r="E301" s="519"/>
      <c r="F301" s="530"/>
      <c r="G301" s="530"/>
      <c r="H301" s="530"/>
      <c r="I301" s="531"/>
      <c r="J301" s="532"/>
      <c r="K301" s="532"/>
      <c r="L301" s="532"/>
      <c r="M301" s="532"/>
      <c r="N301" s="532"/>
      <c r="O301" s="522"/>
      <c r="P301" s="522"/>
      <c r="Q301" s="522"/>
      <c r="R301" s="522"/>
      <c r="S301" s="522"/>
      <c r="T301" s="522"/>
      <c r="U301" s="522"/>
      <c r="Y301" s="523"/>
    </row>
    <row r="302" spans="1:25" x14ac:dyDescent="0.2">
      <c r="A302" s="519"/>
      <c r="B302" s="519"/>
      <c r="C302" s="519"/>
      <c r="D302" s="519"/>
      <c r="E302" s="519"/>
      <c r="F302" s="530"/>
      <c r="G302" s="530"/>
      <c r="H302" s="530"/>
      <c r="I302" s="531"/>
      <c r="J302" s="532"/>
      <c r="K302" s="532"/>
      <c r="L302" s="532"/>
      <c r="M302" s="532"/>
      <c r="N302" s="532"/>
      <c r="O302" s="522"/>
      <c r="P302" s="522"/>
      <c r="Q302" s="522"/>
      <c r="R302" s="522"/>
      <c r="S302" s="522"/>
      <c r="T302" s="522"/>
      <c r="U302" s="522"/>
      <c r="Y302" s="523"/>
    </row>
    <row r="303" spans="1:25" x14ac:dyDescent="0.2">
      <c r="A303" s="519"/>
      <c r="B303" s="519"/>
      <c r="C303" s="519"/>
      <c r="D303" s="519"/>
      <c r="E303" s="519"/>
      <c r="F303" s="530"/>
      <c r="G303" s="530"/>
      <c r="H303" s="530"/>
      <c r="I303" s="531"/>
      <c r="J303" s="532"/>
      <c r="K303" s="532"/>
      <c r="L303" s="532"/>
      <c r="M303" s="532"/>
      <c r="N303" s="532"/>
      <c r="O303" s="522"/>
      <c r="P303" s="522"/>
      <c r="Q303" s="522"/>
      <c r="R303" s="522"/>
      <c r="S303" s="522"/>
      <c r="T303" s="522"/>
      <c r="U303" s="522"/>
      <c r="Y303" s="523"/>
    </row>
    <row r="304" spans="1:25" x14ac:dyDescent="0.2">
      <c r="A304" s="519"/>
      <c r="B304" s="519"/>
      <c r="C304" s="519"/>
      <c r="D304" s="519"/>
      <c r="E304" s="519"/>
      <c r="F304" s="530"/>
      <c r="G304" s="530"/>
      <c r="H304" s="530"/>
      <c r="I304" s="531"/>
      <c r="J304" s="532"/>
      <c r="K304" s="532"/>
      <c r="L304" s="532"/>
      <c r="M304" s="532"/>
      <c r="N304" s="532"/>
      <c r="O304" s="522"/>
      <c r="P304" s="522"/>
      <c r="Q304" s="522"/>
      <c r="R304" s="522"/>
      <c r="S304" s="522"/>
      <c r="T304" s="522"/>
      <c r="U304" s="522"/>
      <c r="Y304" s="523"/>
    </row>
    <row r="305" spans="1:25" x14ac:dyDescent="0.2">
      <c r="A305" s="519"/>
      <c r="B305" s="519"/>
      <c r="C305" s="519"/>
      <c r="D305" s="519"/>
      <c r="E305" s="519"/>
      <c r="F305" s="530"/>
      <c r="G305" s="530"/>
      <c r="H305" s="530"/>
      <c r="I305" s="531"/>
      <c r="J305" s="532"/>
      <c r="K305" s="532"/>
      <c r="L305" s="532"/>
      <c r="M305" s="532"/>
      <c r="N305" s="532"/>
      <c r="O305" s="522"/>
      <c r="P305" s="522"/>
      <c r="Q305" s="522"/>
      <c r="R305" s="522"/>
      <c r="S305" s="522"/>
      <c r="T305" s="522"/>
      <c r="U305" s="522"/>
      <c r="Y305" s="523"/>
    </row>
    <row r="306" spans="1:25" x14ac:dyDescent="0.2">
      <c r="A306" s="519"/>
      <c r="B306" s="519"/>
      <c r="C306" s="519"/>
      <c r="D306" s="519"/>
      <c r="E306" s="519"/>
      <c r="F306" s="530"/>
      <c r="G306" s="530"/>
      <c r="H306" s="530"/>
      <c r="I306" s="531"/>
      <c r="J306" s="532"/>
      <c r="K306" s="532"/>
      <c r="L306" s="532"/>
      <c r="M306" s="532"/>
      <c r="N306" s="532"/>
      <c r="O306" s="522"/>
      <c r="P306" s="522"/>
      <c r="Q306" s="522"/>
      <c r="R306" s="522"/>
      <c r="S306" s="522"/>
      <c r="T306" s="522"/>
      <c r="U306" s="522"/>
      <c r="Y306" s="523"/>
    </row>
    <row r="307" spans="1:25" x14ac:dyDescent="0.2">
      <c r="A307" s="519"/>
      <c r="B307" s="519"/>
      <c r="C307" s="519"/>
      <c r="D307" s="519"/>
      <c r="E307" s="519"/>
      <c r="F307" s="530"/>
      <c r="G307" s="530"/>
      <c r="H307" s="530"/>
      <c r="I307" s="531"/>
      <c r="J307" s="532"/>
      <c r="K307" s="532"/>
      <c r="L307" s="532"/>
      <c r="M307" s="532"/>
      <c r="N307" s="532"/>
      <c r="O307" s="522"/>
      <c r="P307" s="522"/>
      <c r="Q307" s="522"/>
      <c r="R307" s="522"/>
      <c r="S307" s="522"/>
      <c r="T307" s="522"/>
      <c r="U307" s="522"/>
      <c r="Y307" s="523"/>
    </row>
    <row r="308" spans="1:25" x14ac:dyDescent="0.2">
      <c r="A308" s="519"/>
      <c r="B308" s="519"/>
      <c r="C308" s="519"/>
      <c r="D308" s="519"/>
      <c r="E308" s="519"/>
      <c r="F308" s="530"/>
      <c r="G308" s="530"/>
      <c r="H308" s="530"/>
      <c r="I308" s="531"/>
      <c r="J308" s="532"/>
      <c r="K308" s="532"/>
      <c r="L308" s="532"/>
      <c r="M308" s="532"/>
      <c r="N308" s="532"/>
      <c r="O308" s="522"/>
      <c r="P308" s="522"/>
      <c r="Q308" s="522"/>
      <c r="R308" s="522"/>
      <c r="S308" s="522"/>
      <c r="T308" s="522"/>
      <c r="U308" s="522"/>
      <c r="Y308" s="523"/>
    </row>
    <row r="309" spans="1:25" x14ac:dyDescent="0.2">
      <c r="A309" s="519"/>
      <c r="B309" s="519"/>
      <c r="C309" s="519"/>
      <c r="D309" s="519"/>
      <c r="E309" s="519"/>
      <c r="F309" s="530"/>
      <c r="G309" s="530"/>
      <c r="H309" s="530"/>
      <c r="I309" s="531"/>
      <c r="J309" s="532"/>
      <c r="K309" s="532"/>
      <c r="L309" s="532"/>
      <c r="M309" s="532"/>
      <c r="N309" s="532"/>
      <c r="O309" s="522"/>
      <c r="P309" s="522"/>
      <c r="Q309" s="522"/>
      <c r="R309" s="522"/>
      <c r="S309" s="522"/>
      <c r="T309" s="522"/>
      <c r="U309" s="522"/>
      <c r="Y309" s="523"/>
    </row>
    <row r="310" spans="1:25" x14ac:dyDescent="0.2">
      <c r="A310" s="519"/>
      <c r="B310" s="519"/>
      <c r="C310" s="519"/>
      <c r="D310" s="519"/>
      <c r="E310" s="519"/>
      <c r="F310" s="530"/>
      <c r="G310" s="530"/>
      <c r="H310" s="530"/>
      <c r="I310" s="531"/>
      <c r="J310" s="532"/>
      <c r="K310" s="532"/>
      <c r="L310" s="532"/>
      <c r="M310" s="532"/>
      <c r="N310" s="532"/>
      <c r="O310" s="522"/>
      <c r="P310" s="522"/>
      <c r="Q310" s="522"/>
      <c r="R310" s="522"/>
      <c r="S310" s="522"/>
      <c r="T310" s="522"/>
      <c r="U310" s="522"/>
      <c r="Y310" s="523"/>
    </row>
    <row r="311" spans="1:25" x14ac:dyDescent="0.2">
      <c r="A311" s="519"/>
      <c r="B311" s="519"/>
      <c r="C311" s="519"/>
      <c r="D311" s="519"/>
      <c r="E311" s="519"/>
      <c r="F311" s="530"/>
      <c r="G311" s="530"/>
      <c r="H311" s="530"/>
      <c r="I311" s="531"/>
      <c r="J311" s="532"/>
      <c r="K311" s="532"/>
      <c r="L311" s="532"/>
      <c r="M311" s="532"/>
      <c r="N311" s="532"/>
      <c r="O311" s="522"/>
      <c r="P311" s="522"/>
      <c r="Q311" s="522"/>
      <c r="R311" s="522"/>
      <c r="S311" s="522"/>
      <c r="T311" s="522"/>
      <c r="U311" s="522"/>
      <c r="Y311" s="523"/>
    </row>
    <row r="312" spans="1:25" x14ac:dyDescent="0.2">
      <c r="A312" s="519"/>
      <c r="B312" s="519"/>
      <c r="C312" s="519"/>
      <c r="D312" s="519"/>
      <c r="E312" s="519"/>
      <c r="F312" s="530"/>
      <c r="G312" s="530"/>
      <c r="H312" s="530"/>
      <c r="I312" s="531"/>
      <c r="J312" s="532"/>
      <c r="K312" s="532"/>
      <c r="L312" s="532"/>
      <c r="M312" s="532"/>
      <c r="N312" s="532"/>
      <c r="O312" s="522"/>
      <c r="P312" s="522"/>
      <c r="Q312" s="522"/>
      <c r="R312" s="522"/>
      <c r="S312" s="522"/>
      <c r="T312" s="522"/>
      <c r="U312" s="522"/>
      <c r="Y312" s="523"/>
    </row>
    <row r="313" spans="1:25" x14ac:dyDescent="0.2">
      <c r="A313" s="519"/>
      <c r="B313" s="519"/>
      <c r="C313" s="519"/>
      <c r="D313" s="519"/>
      <c r="E313" s="519"/>
      <c r="F313" s="530"/>
      <c r="G313" s="530"/>
      <c r="H313" s="530"/>
      <c r="I313" s="531"/>
      <c r="J313" s="532"/>
      <c r="K313" s="532"/>
      <c r="L313" s="532"/>
      <c r="M313" s="532"/>
      <c r="N313" s="532"/>
      <c r="O313" s="522"/>
      <c r="P313" s="522"/>
      <c r="Q313" s="522"/>
      <c r="R313" s="522"/>
      <c r="S313" s="522"/>
      <c r="T313" s="522"/>
      <c r="U313" s="522"/>
      <c r="Y313" s="523"/>
    </row>
    <row r="314" spans="1:25" x14ac:dyDescent="0.2">
      <c r="A314" s="519"/>
      <c r="B314" s="519"/>
      <c r="C314" s="519"/>
      <c r="D314" s="519"/>
      <c r="E314" s="519"/>
      <c r="F314" s="530"/>
      <c r="G314" s="530"/>
      <c r="H314" s="530"/>
      <c r="I314" s="531"/>
      <c r="J314" s="532"/>
      <c r="K314" s="532"/>
      <c r="L314" s="532"/>
      <c r="M314" s="532"/>
      <c r="N314" s="532"/>
      <c r="O314" s="522"/>
      <c r="P314" s="522"/>
      <c r="Q314" s="522"/>
      <c r="R314" s="522"/>
      <c r="S314" s="522"/>
      <c r="T314" s="522"/>
      <c r="U314" s="522"/>
      <c r="Y314" s="523"/>
    </row>
    <row r="315" spans="1:25" x14ac:dyDescent="0.2">
      <c r="A315" s="519"/>
      <c r="B315" s="519"/>
      <c r="C315" s="519"/>
      <c r="D315" s="519"/>
      <c r="E315" s="519"/>
      <c r="F315" s="530"/>
      <c r="G315" s="530"/>
      <c r="H315" s="530"/>
      <c r="I315" s="531"/>
      <c r="J315" s="532"/>
      <c r="K315" s="532"/>
      <c r="L315" s="532"/>
      <c r="M315" s="532"/>
      <c r="N315" s="532"/>
      <c r="O315" s="522"/>
      <c r="P315" s="522"/>
      <c r="Q315" s="522"/>
      <c r="R315" s="522"/>
      <c r="S315" s="522"/>
      <c r="T315" s="522"/>
      <c r="U315" s="522"/>
      <c r="Y315" s="523"/>
    </row>
    <row r="316" spans="1:25" x14ac:dyDescent="0.2">
      <c r="A316" s="519"/>
      <c r="B316" s="519"/>
      <c r="C316" s="519"/>
      <c r="D316" s="519"/>
      <c r="E316" s="519"/>
      <c r="F316" s="530"/>
      <c r="G316" s="530"/>
      <c r="H316" s="530"/>
      <c r="I316" s="531"/>
      <c r="J316" s="532"/>
      <c r="K316" s="532"/>
      <c r="L316" s="532"/>
      <c r="M316" s="532"/>
      <c r="N316" s="532"/>
      <c r="O316" s="522"/>
      <c r="P316" s="522"/>
      <c r="Q316" s="522"/>
      <c r="R316" s="522"/>
      <c r="S316" s="522"/>
      <c r="T316" s="522"/>
      <c r="U316" s="522"/>
      <c r="Y316" s="523"/>
    </row>
    <row r="317" spans="1:25" x14ac:dyDescent="0.2">
      <c r="A317" s="519"/>
      <c r="B317" s="519"/>
      <c r="C317" s="519"/>
      <c r="D317" s="519"/>
      <c r="E317" s="519"/>
      <c r="F317" s="530"/>
      <c r="G317" s="530"/>
      <c r="H317" s="530"/>
      <c r="I317" s="531"/>
      <c r="J317" s="532"/>
      <c r="K317" s="532"/>
      <c r="L317" s="532"/>
      <c r="M317" s="532"/>
      <c r="N317" s="532"/>
      <c r="O317" s="522"/>
      <c r="P317" s="522"/>
      <c r="Q317" s="522"/>
      <c r="R317" s="522"/>
      <c r="S317" s="522"/>
      <c r="T317" s="522"/>
      <c r="U317" s="522"/>
      <c r="Y317" s="523"/>
    </row>
    <row r="318" spans="1:25" x14ac:dyDescent="0.2">
      <c r="A318" s="519"/>
      <c r="B318" s="519"/>
      <c r="C318" s="519"/>
      <c r="D318" s="519"/>
      <c r="E318" s="519"/>
      <c r="F318" s="530"/>
      <c r="G318" s="530"/>
      <c r="H318" s="530"/>
      <c r="I318" s="531"/>
      <c r="J318" s="532"/>
      <c r="K318" s="532"/>
      <c r="L318" s="532"/>
      <c r="M318" s="532"/>
      <c r="N318" s="532"/>
      <c r="O318" s="522"/>
      <c r="P318" s="522"/>
      <c r="Q318" s="522"/>
      <c r="R318" s="522"/>
      <c r="S318" s="522"/>
      <c r="T318" s="522"/>
      <c r="U318" s="522"/>
      <c r="Y318" s="523"/>
    </row>
    <row r="319" spans="1:25" x14ac:dyDescent="0.2">
      <c r="A319" s="519"/>
      <c r="B319" s="519"/>
      <c r="C319" s="519"/>
      <c r="D319" s="519"/>
      <c r="E319" s="519"/>
      <c r="F319" s="530"/>
      <c r="G319" s="530"/>
      <c r="H319" s="530"/>
      <c r="I319" s="531"/>
      <c r="J319" s="532"/>
      <c r="K319" s="532"/>
      <c r="L319" s="532"/>
      <c r="M319" s="532"/>
      <c r="N319" s="532"/>
      <c r="O319" s="522"/>
      <c r="P319" s="522"/>
      <c r="Q319" s="522"/>
      <c r="R319" s="522"/>
      <c r="S319" s="522"/>
      <c r="T319" s="522"/>
      <c r="U319" s="522"/>
      <c r="Y319" s="523"/>
    </row>
    <row r="320" spans="1:25" x14ac:dyDescent="0.2">
      <c r="A320" s="519"/>
      <c r="B320" s="519"/>
      <c r="C320" s="519"/>
      <c r="D320" s="519"/>
      <c r="E320" s="519"/>
      <c r="F320" s="530"/>
      <c r="G320" s="530"/>
      <c r="H320" s="530"/>
      <c r="I320" s="531"/>
      <c r="J320" s="532"/>
      <c r="K320" s="532"/>
      <c r="L320" s="532"/>
      <c r="M320" s="532"/>
      <c r="N320" s="532"/>
      <c r="O320" s="522"/>
      <c r="P320" s="522"/>
      <c r="Q320" s="522"/>
      <c r="R320" s="522"/>
      <c r="S320" s="522"/>
      <c r="T320" s="522"/>
      <c r="U320" s="522"/>
      <c r="Y320" s="523"/>
    </row>
    <row r="321" spans="1:25" x14ac:dyDescent="0.2">
      <c r="A321" s="519"/>
      <c r="B321" s="519"/>
      <c r="C321" s="519"/>
      <c r="D321" s="519"/>
      <c r="E321" s="519"/>
      <c r="F321" s="530"/>
      <c r="G321" s="530"/>
      <c r="H321" s="530"/>
      <c r="I321" s="531"/>
      <c r="J321" s="532"/>
      <c r="K321" s="532"/>
      <c r="L321" s="532"/>
      <c r="M321" s="532"/>
      <c r="N321" s="532"/>
      <c r="O321" s="522"/>
      <c r="P321" s="522"/>
      <c r="Q321" s="522"/>
      <c r="R321" s="522"/>
      <c r="S321" s="522"/>
      <c r="T321" s="522"/>
      <c r="U321" s="522"/>
      <c r="Y321" s="523"/>
    </row>
    <row r="322" spans="1:25" x14ac:dyDescent="0.2">
      <c r="A322" s="519"/>
      <c r="B322" s="519"/>
      <c r="C322" s="519"/>
      <c r="D322" s="519"/>
      <c r="E322" s="519"/>
      <c r="F322" s="530"/>
      <c r="G322" s="530"/>
      <c r="H322" s="530"/>
      <c r="I322" s="531"/>
      <c r="J322" s="532"/>
      <c r="K322" s="532"/>
      <c r="L322" s="532"/>
      <c r="M322" s="532"/>
      <c r="N322" s="532"/>
      <c r="O322" s="522"/>
      <c r="P322" s="522"/>
      <c r="Q322" s="522"/>
      <c r="R322" s="522"/>
      <c r="S322" s="522"/>
      <c r="T322" s="522"/>
      <c r="U322" s="522"/>
      <c r="Y322" s="523"/>
    </row>
    <row r="323" spans="1:25" x14ac:dyDescent="0.2">
      <c r="A323" s="519"/>
      <c r="B323" s="519"/>
      <c r="C323" s="519"/>
      <c r="D323" s="519"/>
      <c r="E323" s="519"/>
      <c r="F323" s="530"/>
      <c r="G323" s="530"/>
      <c r="H323" s="530"/>
      <c r="I323" s="531"/>
      <c r="J323" s="532"/>
      <c r="K323" s="532"/>
      <c r="L323" s="532"/>
      <c r="M323" s="532"/>
      <c r="N323" s="532"/>
      <c r="O323" s="522"/>
      <c r="P323" s="522"/>
      <c r="Q323" s="522"/>
      <c r="R323" s="522"/>
      <c r="S323" s="522"/>
      <c r="T323" s="522"/>
      <c r="U323" s="522"/>
      <c r="Y323" s="523"/>
    </row>
    <row r="324" spans="1:25" x14ac:dyDescent="0.2">
      <c r="A324" s="519"/>
      <c r="B324" s="519"/>
      <c r="C324" s="519"/>
      <c r="D324" s="519"/>
      <c r="E324" s="519"/>
      <c r="F324" s="530"/>
      <c r="G324" s="530"/>
      <c r="H324" s="530"/>
      <c r="I324" s="531"/>
      <c r="J324" s="532"/>
      <c r="K324" s="532"/>
      <c r="L324" s="532"/>
      <c r="M324" s="532"/>
      <c r="N324" s="532"/>
      <c r="O324" s="522"/>
      <c r="P324" s="522"/>
      <c r="Q324" s="522"/>
      <c r="R324" s="522"/>
      <c r="S324" s="522"/>
      <c r="T324" s="522"/>
      <c r="U324" s="522"/>
      <c r="Y324" s="523"/>
    </row>
    <row r="325" spans="1:25" x14ac:dyDescent="0.2">
      <c r="A325" s="519"/>
      <c r="B325" s="519"/>
      <c r="C325" s="519"/>
      <c r="D325" s="519"/>
      <c r="E325" s="519"/>
      <c r="F325" s="530"/>
      <c r="G325" s="530"/>
      <c r="H325" s="530"/>
      <c r="I325" s="531"/>
      <c r="J325" s="532"/>
      <c r="K325" s="532"/>
      <c r="L325" s="532"/>
      <c r="M325" s="532"/>
      <c r="N325" s="532"/>
      <c r="O325" s="522"/>
      <c r="P325" s="522"/>
      <c r="Q325" s="522"/>
      <c r="R325" s="522"/>
      <c r="S325" s="522"/>
      <c r="T325" s="522"/>
      <c r="U325" s="522"/>
      <c r="Y325" s="523"/>
    </row>
    <row r="326" spans="1:25" x14ac:dyDescent="0.2">
      <c r="A326" s="519"/>
      <c r="B326" s="519"/>
      <c r="C326" s="519"/>
      <c r="D326" s="519"/>
      <c r="E326" s="519"/>
      <c r="F326" s="530"/>
      <c r="G326" s="530"/>
      <c r="H326" s="530"/>
      <c r="I326" s="531"/>
      <c r="J326" s="532"/>
      <c r="K326" s="532"/>
      <c r="L326" s="532"/>
      <c r="M326" s="532"/>
      <c r="N326" s="532"/>
      <c r="O326" s="522"/>
      <c r="P326" s="522"/>
      <c r="Q326" s="522"/>
      <c r="R326" s="522"/>
      <c r="S326" s="522"/>
      <c r="T326" s="522"/>
      <c r="U326" s="522"/>
      <c r="Y326" s="523"/>
    </row>
    <row r="327" spans="1:25" x14ac:dyDescent="0.2">
      <c r="A327" s="519"/>
      <c r="B327" s="519"/>
      <c r="C327" s="519"/>
      <c r="D327" s="519"/>
      <c r="E327" s="519"/>
      <c r="F327" s="530"/>
      <c r="G327" s="530"/>
      <c r="H327" s="530"/>
      <c r="I327" s="531"/>
      <c r="J327" s="532"/>
      <c r="K327" s="532"/>
      <c r="L327" s="532"/>
      <c r="M327" s="532"/>
      <c r="N327" s="532"/>
      <c r="O327" s="522"/>
      <c r="P327" s="522"/>
      <c r="Q327" s="522"/>
      <c r="R327" s="522"/>
      <c r="S327" s="522"/>
      <c r="T327" s="522"/>
      <c r="U327" s="522"/>
      <c r="Y327" s="523"/>
    </row>
    <row r="328" spans="1:25" x14ac:dyDescent="0.2">
      <c r="A328" s="519"/>
      <c r="B328" s="519"/>
      <c r="C328" s="519"/>
      <c r="D328" s="519"/>
      <c r="E328" s="519"/>
      <c r="F328" s="530"/>
      <c r="G328" s="530"/>
      <c r="H328" s="530"/>
      <c r="I328" s="531"/>
      <c r="J328" s="532"/>
      <c r="K328" s="532"/>
      <c r="L328" s="532"/>
      <c r="M328" s="532"/>
      <c r="N328" s="532"/>
      <c r="O328" s="522"/>
      <c r="P328" s="522"/>
      <c r="Q328" s="522"/>
      <c r="R328" s="522"/>
      <c r="S328" s="522"/>
      <c r="T328" s="522"/>
      <c r="U328" s="522"/>
      <c r="Y328" s="523"/>
    </row>
    <row r="329" spans="1:25" x14ac:dyDescent="0.2">
      <c r="A329" s="519"/>
      <c r="B329" s="519"/>
      <c r="C329" s="519"/>
      <c r="D329" s="519"/>
      <c r="E329" s="519"/>
      <c r="F329" s="530"/>
      <c r="G329" s="530"/>
      <c r="H329" s="530"/>
      <c r="I329" s="531"/>
      <c r="J329" s="532"/>
      <c r="K329" s="532"/>
      <c r="L329" s="532"/>
      <c r="M329" s="532"/>
      <c r="N329" s="532"/>
      <c r="O329" s="522"/>
      <c r="P329" s="522"/>
      <c r="Q329" s="522"/>
      <c r="R329" s="522"/>
      <c r="S329" s="522"/>
      <c r="T329" s="522"/>
      <c r="U329" s="522"/>
      <c r="Y329" s="523"/>
    </row>
    <row r="330" spans="1:25" x14ac:dyDescent="0.2">
      <c r="A330" s="519"/>
      <c r="B330" s="519"/>
      <c r="C330" s="519"/>
      <c r="D330" s="519"/>
      <c r="E330" s="519"/>
      <c r="F330" s="530"/>
      <c r="G330" s="530"/>
      <c r="H330" s="530"/>
      <c r="I330" s="531"/>
      <c r="J330" s="532"/>
      <c r="K330" s="532"/>
      <c r="L330" s="532"/>
      <c r="M330" s="532"/>
      <c r="N330" s="532"/>
      <c r="O330" s="522"/>
      <c r="P330" s="522"/>
      <c r="Q330" s="522"/>
      <c r="R330" s="522"/>
      <c r="S330" s="522"/>
      <c r="T330" s="522"/>
      <c r="U330" s="522"/>
      <c r="Y330" s="523"/>
    </row>
    <row r="331" spans="1:25" x14ac:dyDescent="0.2">
      <c r="A331" s="519"/>
      <c r="B331" s="519"/>
      <c r="C331" s="519"/>
      <c r="D331" s="519"/>
      <c r="E331" s="519"/>
      <c r="F331" s="530"/>
      <c r="G331" s="530"/>
      <c r="H331" s="530"/>
      <c r="I331" s="531"/>
      <c r="J331" s="532"/>
      <c r="K331" s="532"/>
      <c r="L331" s="532"/>
      <c r="M331" s="532"/>
      <c r="N331" s="532"/>
      <c r="O331" s="522"/>
      <c r="P331" s="522"/>
      <c r="Q331" s="522"/>
      <c r="R331" s="522"/>
      <c r="S331" s="522"/>
      <c r="T331" s="522"/>
      <c r="U331" s="522"/>
      <c r="Y331" s="523"/>
    </row>
    <row r="332" spans="1:25" x14ac:dyDescent="0.2">
      <c r="A332" s="519"/>
      <c r="B332" s="519"/>
      <c r="C332" s="519"/>
      <c r="D332" s="519"/>
      <c r="E332" s="519"/>
      <c r="F332" s="530"/>
      <c r="G332" s="530"/>
      <c r="H332" s="530"/>
      <c r="I332" s="531"/>
      <c r="J332" s="532"/>
      <c r="K332" s="532"/>
      <c r="L332" s="532"/>
      <c r="M332" s="532"/>
      <c r="N332" s="532"/>
      <c r="O332" s="522"/>
      <c r="P332" s="522"/>
      <c r="Q332" s="522"/>
      <c r="R332" s="522"/>
      <c r="S332" s="522"/>
      <c r="T332" s="522"/>
      <c r="U332" s="522"/>
      <c r="Y332" s="523"/>
    </row>
    <row r="333" spans="1:25" x14ac:dyDescent="0.2">
      <c r="A333" s="519"/>
      <c r="B333" s="519"/>
      <c r="C333" s="519"/>
      <c r="D333" s="519"/>
      <c r="E333" s="519"/>
      <c r="F333" s="530"/>
      <c r="G333" s="530"/>
      <c r="H333" s="530"/>
      <c r="I333" s="531"/>
      <c r="J333" s="532"/>
      <c r="K333" s="532"/>
      <c r="L333" s="532"/>
      <c r="M333" s="532"/>
      <c r="N333" s="532"/>
      <c r="O333" s="522"/>
      <c r="P333" s="522"/>
      <c r="Q333" s="522"/>
      <c r="R333" s="522"/>
      <c r="S333" s="522"/>
      <c r="T333" s="522"/>
      <c r="U333" s="522"/>
      <c r="Y333" s="523"/>
    </row>
    <row r="334" spans="1:25" x14ac:dyDescent="0.2">
      <c r="A334" s="519"/>
      <c r="B334" s="519"/>
      <c r="C334" s="519"/>
      <c r="D334" s="519"/>
      <c r="E334" s="519"/>
      <c r="F334" s="530"/>
      <c r="G334" s="530"/>
      <c r="H334" s="530"/>
      <c r="I334" s="531"/>
      <c r="J334" s="532"/>
      <c r="K334" s="532"/>
      <c r="L334" s="532"/>
      <c r="M334" s="532"/>
      <c r="N334" s="532"/>
      <c r="O334" s="522"/>
      <c r="P334" s="522"/>
      <c r="Q334" s="522"/>
      <c r="R334" s="522"/>
      <c r="S334" s="522"/>
      <c r="T334" s="522"/>
      <c r="U334" s="522"/>
      <c r="Y334" s="523"/>
    </row>
    <row r="335" spans="1:25" x14ac:dyDescent="0.2">
      <c r="A335" s="519"/>
      <c r="B335" s="519"/>
      <c r="C335" s="519"/>
      <c r="D335" s="519"/>
      <c r="E335" s="519"/>
      <c r="F335" s="530"/>
      <c r="G335" s="530"/>
      <c r="H335" s="530"/>
      <c r="I335" s="531"/>
      <c r="J335" s="532"/>
      <c r="K335" s="532"/>
      <c r="L335" s="532"/>
      <c r="M335" s="532"/>
      <c r="N335" s="532"/>
      <c r="O335" s="522"/>
      <c r="P335" s="522"/>
      <c r="Q335" s="522"/>
      <c r="R335" s="522"/>
      <c r="S335" s="522"/>
      <c r="T335" s="522"/>
      <c r="U335" s="522"/>
      <c r="Y335" s="523"/>
    </row>
    <row r="336" spans="1:25" x14ac:dyDescent="0.2">
      <c r="A336" s="519"/>
      <c r="B336" s="519"/>
      <c r="C336" s="519"/>
      <c r="D336" s="519"/>
      <c r="E336" s="519"/>
      <c r="F336" s="530"/>
      <c r="G336" s="530"/>
      <c r="H336" s="530"/>
      <c r="I336" s="531"/>
      <c r="J336" s="532"/>
      <c r="K336" s="532"/>
      <c r="L336" s="532"/>
      <c r="M336" s="532"/>
      <c r="N336" s="532"/>
      <c r="O336" s="522"/>
      <c r="P336" s="522"/>
      <c r="Q336" s="522"/>
      <c r="R336" s="522"/>
      <c r="S336" s="522"/>
      <c r="T336" s="522"/>
      <c r="U336" s="522"/>
      <c r="Y336" s="523"/>
    </row>
    <row r="337" spans="1:25" x14ac:dyDescent="0.2">
      <c r="A337" s="519"/>
      <c r="B337" s="519"/>
      <c r="C337" s="519"/>
      <c r="D337" s="519"/>
      <c r="E337" s="519"/>
      <c r="F337" s="530"/>
      <c r="G337" s="530"/>
      <c r="H337" s="530"/>
      <c r="I337" s="531"/>
      <c r="J337" s="532"/>
      <c r="K337" s="532"/>
      <c r="L337" s="532"/>
      <c r="M337" s="532"/>
      <c r="N337" s="532"/>
      <c r="O337" s="522"/>
      <c r="P337" s="522"/>
      <c r="Q337" s="522"/>
      <c r="R337" s="522"/>
      <c r="S337" s="522"/>
      <c r="T337" s="522"/>
      <c r="U337" s="522"/>
      <c r="Y337" s="523"/>
    </row>
    <row r="338" spans="1:25" x14ac:dyDescent="0.2">
      <c r="A338" s="519"/>
      <c r="B338" s="519"/>
      <c r="C338" s="519"/>
      <c r="D338" s="519"/>
      <c r="E338" s="519"/>
      <c r="F338" s="530"/>
      <c r="G338" s="530"/>
      <c r="H338" s="530"/>
      <c r="I338" s="531"/>
      <c r="J338" s="532"/>
      <c r="K338" s="532"/>
      <c r="L338" s="532"/>
      <c r="M338" s="532"/>
      <c r="N338" s="532"/>
      <c r="O338" s="522"/>
      <c r="P338" s="522"/>
      <c r="Q338" s="522"/>
      <c r="R338" s="522"/>
      <c r="S338" s="522"/>
      <c r="T338" s="522"/>
      <c r="U338" s="522"/>
      <c r="Y338" s="523"/>
    </row>
    <row r="339" spans="1:25" x14ac:dyDescent="0.2">
      <c r="A339" s="519"/>
      <c r="B339" s="519"/>
      <c r="C339" s="519"/>
      <c r="D339" s="519"/>
      <c r="E339" s="519"/>
      <c r="F339" s="530"/>
      <c r="G339" s="530"/>
      <c r="H339" s="530"/>
      <c r="I339" s="531"/>
      <c r="J339" s="532"/>
      <c r="K339" s="532"/>
      <c r="L339" s="532"/>
      <c r="M339" s="532"/>
      <c r="N339" s="532"/>
      <c r="O339" s="522"/>
      <c r="P339" s="522"/>
      <c r="Q339" s="522"/>
      <c r="R339" s="522"/>
      <c r="S339" s="522"/>
      <c r="T339" s="522"/>
      <c r="U339" s="522"/>
      <c r="Y339" s="523"/>
    </row>
    <row r="340" spans="1:25" x14ac:dyDescent="0.2">
      <c r="A340" s="519"/>
      <c r="B340" s="519"/>
      <c r="C340" s="519"/>
      <c r="D340" s="519"/>
      <c r="E340" s="519"/>
      <c r="F340" s="530"/>
      <c r="G340" s="530"/>
      <c r="H340" s="530"/>
      <c r="I340" s="531"/>
      <c r="J340" s="532"/>
      <c r="K340" s="532"/>
      <c r="L340" s="532"/>
      <c r="M340" s="532"/>
      <c r="N340" s="532"/>
      <c r="O340" s="522"/>
      <c r="P340" s="522"/>
      <c r="Q340" s="522"/>
      <c r="R340" s="522"/>
      <c r="S340" s="522"/>
      <c r="T340" s="522"/>
      <c r="U340" s="522"/>
      <c r="Y340" s="523"/>
    </row>
    <row r="341" spans="1:25" x14ac:dyDescent="0.2">
      <c r="A341" s="519"/>
      <c r="B341" s="519"/>
      <c r="C341" s="519"/>
      <c r="D341" s="519"/>
      <c r="E341" s="519"/>
      <c r="F341" s="530"/>
      <c r="G341" s="530"/>
      <c r="H341" s="530"/>
      <c r="I341" s="531"/>
      <c r="J341" s="532"/>
      <c r="K341" s="532"/>
      <c r="L341" s="532"/>
      <c r="M341" s="532"/>
      <c r="N341" s="532"/>
      <c r="O341" s="522"/>
      <c r="P341" s="522"/>
      <c r="Q341" s="522"/>
      <c r="R341" s="522"/>
      <c r="S341" s="522"/>
      <c r="T341" s="522"/>
      <c r="U341" s="522"/>
      <c r="Y341" s="523"/>
    </row>
    <row r="342" spans="1:25" x14ac:dyDescent="0.2">
      <c r="A342" s="519"/>
      <c r="B342" s="519"/>
      <c r="C342" s="519"/>
      <c r="D342" s="519"/>
      <c r="E342" s="519"/>
      <c r="F342" s="530"/>
      <c r="G342" s="530"/>
      <c r="H342" s="530"/>
      <c r="I342" s="531"/>
      <c r="J342" s="532"/>
      <c r="K342" s="532"/>
      <c r="L342" s="532"/>
      <c r="M342" s="532"/>
      <c r="N342" s="532"/>
      <c r="O342" s="522"/>
      <c r="P342" s="522"/>
      <c r="Q342" s="522"/>
      <c r="R342" s="522"/>
      <c r="S342" s="522"/>
      <c r="T342" s="522"/>
      <c r="U342" s="522"/>
      <c r="Y342" s="523"/>
    </row>
    <row r="343" spans="1:25" x14ac:dyDescent="0.2">
      <c r="A343" s="519"/>
      <c r="B343" s="519"/>
      <c r="C343" s="519"/>
      <c r="D343" s="519"/>
      <c r="E343" s="519"/>
      <c r="F343" s="530"/>
      <c r="G343" s="530"/>
      <c r="H343" s="530"/>
      <c r="I343" s="531"/>
      <c r="J343" s="532"/>
      <c r="K343" s="532"/>
      <c r="L343" s="532"/>
      <c r="M343" s="532"/>
      <c r="N343" s="532"/>
      <c r="O343" s="522"/>
      <c r="P343" s="522"/>
      <c r="Q343" s="522"/>
      <c r="R343" s="522"/>
      <c r="S343" s="522"/>
      <c r="T343" s="522"/>
      <c r="U343" s="522"/>
      <c r="Y343" s="523"/>
    </row>
    <row r="344" spans="1:25" x14ac:dyDescent="0.2">
      <c r="A344" s="519"/>
      <c r="B344" s="519"/>
      <c r="C344" s="519"/>
      <c r="D344" s="519"/>
      <c r="E344" s="519"/>
      <c r="F344" s="530"/>
      <c r="G344" s="530"/>
      <c r="H344" s="530"/>
      <c r="I344" s="531"/>
      <c r="J344" s="532"/>
      <c r="K344" s="532"/>
      <c r="L344" s="532"/>
      <c r="M344" s="532"/>
      <c r="N344" s="532"/>
      <c r="O344" s="522"/>
      <c r="P344" s="522"/>
      <c r="Q344" s="522"/>
      <c r="R344" s="522"/>
      <c r="S344" s="522"/>
      <c r="T344" s="522"/>
      <c r="U344" s="522"/>
      <c r="Y344" s="523"/>
    </row>
    <row r="345" spans="1:25" x14ac:dyDescent="0.2">
      <c r="A345" s="519"/>
      <c r="B345" s="519"/>
      <c r="C345" s="519"/>
      <c r="D345" s="519"/>
      <c r="E345" s="519"/>
      <c r="F345" s="530"/>
      <c r="G345" s="530"/>
      <c r="H345" s="530"/>
      <c r="I345" s="531"/>
      <c r="J345" s="532"/>
      <c r="K345" s="532"/>
      <c r="L345" s="532"/>
      <c r="M345" s="532"/>
      <c r="N345" s="532"/>
      <c r="O345" s="522"/>
      <c r="P345" s="522"/>
      <c r="Q345" s="522"/>
      <c r="R345" s="522"/>
      <c r="S345" s="522"/>
      <c r="T345" s="522"/>
      <c r="U345" s="522"/>
      <c r="Y345" s="523"/>
    </row>
    <row r="346" spans="1:25" x14ac:dyDescent="0.2">
      <c r="A346" s="519"/>
      <c r="B346" s="519"/>
      <c r="C346" s="519"/>
      <c r="D346" s="519"/>
      <c r="E346" s="519"/>
      <c r="F346" s="530"/>
      <c r="G346" s="530"/>
      <c r="H346" s="530"/>
      <c r="I346" s="531"/>
      <c r="J346" s="532"/>
      <c r="K346" s="532"/>
      <c r="L346" s="532"/>
      <c r="M346" s="532"/>
      <c r="N346" s="532"/>
      <c r="O346" s="522"/>
      <c r="P346" s="522"/>
      <c r="Q346" s="522"/>
      <c r="R346" s="522"/>
      <c r="S346" s="522"/>
      <c r="T346" s="522"/>
      <c r="U346" s="522"/>
      <c r="Y346" s="523"/>
    </row>
    <row r="347" spans="1:25" x14ac:dyDescent="0.2">
      <c r="A347" s="519"/>
      <c r="B347" s="519"/>
      <c r="C347" s="519"/>
      <c r="D347" s="519"/>
      <c r="E347" s="519"/>
      <c r="F347" s="530"/>
      <c r="G347" s="530"/>
      <c r="H347" s="530"/>
      <c r="I347" s="531"/>
      <c r="J347" s="532"/>
      <c r="K347" s="532"/>
      <c r="L347" s="532"/>
      <c r="M347" s="532"/>
      <c r="N347" s="532"/>
      <c r="O347" s="522"/>
      <c r="P347" s="522"/>
      <c r="Q347" s="522"/>
      <c r="R347" s="522"/>
      <c r="S347" s="522"/>
      <c r="T347" s="522"/>
      <c r="U347" s="522"/>
      <c r="Y347" s="523"/>
    </row>
    <row r="348" spans="1:25" x14ac:dyDescent="0.2">
      <c r="A348" s="519"/>
      <c r="B348" s="519"/>
      <c r="C348" s="519"/>
      <c r="D348" s="519"/>
      <c r="E348" s="519"/>
      <c r="F348" s="530"/>
      <c r="G348" s="530"/>
      <c r="H348" s="530"/>
      <c r="I348" s="531"/>
      <c r="J348" s="532"/>
      <c r="K348" s="532"/>
      <c r="L348" s="532"/>
      <c r="M348" s="532"/>
      <c r="N348" s="532"/>
      <c r="O348" s="522"/>
      <c r="P348" s="522"/>
      <c r="Q348" s="522"/>
      <c r="R348" s="522"/>
      <c r="S348" s="522"/>
      <c r="T348" s="522"/>
      <c r="U348" s="522"/>
      <c r="Y348" s="523"/>
    </row>
    <row r="349" spans="1:25" x14ac:dyDescent="0.2">
      <c r="A349" s="519"/>
      <c r="B349" s="519"/>
      <c r="C349" s="519"/>
      <c r="D349" s="519"/>
      <c r="E349" s="519"/>
      <c r="F349" s="530"/>
      <c r="G349" s="530"/>
      <c r="H349" s="530"/>
      <c r="I349" s="531"/>
      <c r="J349" s="532"/>
      <c r="K349" s="532"/>
      <c r="L349" s="532"/>
      <c r="M349" s="532"/>
      <c r="N349" s="532"/>
      <c r="O349" s="522"/>
      <c r="P349" s="522"/>
      <c r="Q349" s="522"/>
      <c r="R349" s="522"/>
      <c r="S349" s="522"/>
      <c r="T349" s="522"/>
      <c r="U349" s="522"/>
      <c r="Y349" s="523"/>
    </row>
    <row r="350" spans="1:25" x14ac:dyDescent="0.2">
      <c r="A350" s="519"/>
      <c r="B350" s="519"/>
      <c r="C350" s="519"/>
      <c r="D350" s="519"/>
      <c r="E350" s="519"/>
      <c r="F350" s="530"/>
      <c r="G350" s="530"/>
      <c r="H350" s="530"/>
      <c r="I350" s="531"/>
      <c r="J350" s="532"/>
      <c r="K350" s="532"/>
      <c r="L350" s="532"/>
      <c r="M350" s="532"/>
      <c r="N350" s="532"/>
      <c r="O350" s="522"/>
      <c r="P350" s="522"/>
      <c r="Q350" s="522"/>
      <c r="R350" s="522"/>
      <c r="S350" s="522"/>
      <c r="T350" s="522"/>
      <c r="U350" s="522"/>
      <c r="Y350" s="523"/>
    </row>
    <row r="351" spans="1:25" x14ac:dyDescent="0.2">
      <c r="A351" s="519"/>
      <c r="B351" s="519"/>
      <c r="C351" s="519"/>
      <c r="D351" s="519"/>
      <c r="E351" s="519"/>
      <c r="F351" s="530"/>
      <c r="G351" s="530"/>
      <c r="H351" s="530"/>
      <c r="I351" s="531"/>
      <c r="J351" s="532"/>
      <c r="K351" s="532"/>
      <c r="L351" s="532"/>
      <c r="M351" s="532"/>
      <c r="N351" s="532"/>
      <c r="O351" s="522"/>
      <c r="P351" s="522"/>
      <c r="Q351" s="522"/>
      <c r="R351" s="522"/>
      <c r="S351" s="522"/>
      <c r="T351" s="522"/>
      <c r="U351" s="522"/>
      <c r="Y351" s="523"/>
    </row>
    <row r="352" spans="1:25" x14ac:dyDescent="0.2">
      <c r="A352" s="519"/>
      <c r="B352" s="519"/>
      <c r="C352" s="519"/>
      <c r="D352" s="519"/>
      <c r="E352" s="519"/>
      <c r="F352" s="530"/>
      <c r="G352" s="530"/>
      <c r="H352" s="530"/>
      <c r="I352" s="531"/>
      <c r="J352" s="532"/>
      <c r="K352" s="532"/>
      <c r="L352" s="532"/>
      <c r="M352" s="532"/>
      <c r="N352" s="532"/>
      <c r="O352" s="522"/>
      <c r="P352" s="522"/>
      <c r="Q352" s="522"/>
      <c r="R352" s="522"/>
      <c r="S352" s="522"/>
      <c r="T352" s="522"/>
      <c r="U352" s="522"/>
      <c r="Y352" s="523"/>
    </row>
    <row r="353" spans="1:25" x14ac:dyDescent="0.2">
      <c r="A353" s="519"/>
      <c r="B353" s="519"/>
      <c r="C353" s="519"/>
      <c r="D353" s="519"/>
      <c r="E353" s="519"/>
      <c r="F353" s="530"/>
      <c r="G353" s="530"/>
      <c r="H353" s="530"/>
      <c r="I353" s="531"/>
      <c r="J353" s="532"/>
      <c r="K353" s="532"/>
      <c r="L353" s="532"/>
      <c r="M353" s="532"/>
      <c r="N353" s="532"/>
      <c r="O353" s="522"/>
      <c r="P353" s="522"/>
      <c r="Q353" s="522"/>
      <c r="R353" s="522"/>
      <c r="S353" s="522"/>
      <c r="T353" s="522"/>
      <c r="U353" s="522"/>
      <c r="Y353" s="523"/>
    </row>
    <row r="354" spans="1:25" x14ac:dyDescent="0.2">
      <c r="A354" s="519"/>
      <c r="B354" s="519"/>
      <c r="C354" s="519"/>
      <c r="D354" s="519"/>
      <c r="E354" s="519"/>
      <c r="F354" s="530"/>
      <c r="G354" s="530"/>
      <c r="H354" s="530"/>
      <c r="I354" s="531"/>
      <c r="J354" s="532"/>
      <c r="K354" s="532"/>
      <c r="L354" s="532"/>
      <c r="M354" s="532"/>
      <c r="N354" s="532"/>
      <c r="O354" s="522"/>
      <c r="P354" s="522"/>
      <c r="Q354" s="522"/>
      <c r="R354" s="522"/>
      <c r="S354" s="522"/>
      <c r="T354" s="522"/>
      <c r="U354" s="522"/>
      <c r="Y354" s="523"/>
    </row>
    <row r="355" spans="1:25" x14ac:dyDescent="0.2">
      <c r="A355" s="519"/>
      <c r="B355" s="519"/>
      <c r="C355" s="519"/>
      <c r="D355" s="519"/>
      <c r="E355" s="519"/>
      <c r="F355" s="530"/>
      <c r="G355" s="530"/>
      <c r="H355" s="530"/>
      <c r="I355" s="531"/>
      <c r="J355" s="532"/>
      <c r="K355" s="532"/>
      <c r="L355" s="532"/>
      <c r="M355" s="532"/>
      <c r="N355" s="532"/>
      <c r="O355" s="522"/>
      <c r="P355" s="522"/>
      <c r="Q355" s="522"/>
      <c r="R355" s="522"/>
      <c r="S355" s="522"/>
      <c r="T355" s="522"/>
      <c r="U355" s="522"/>
      <c r="Y355" s="523"/>
    </row>
    <row r="356" spans="1:25" x14ac:dyDescent="0.2">
      <c r="A356" s="519"/>
      <c r="B356" s="519"/>
      <c r="C356" s="519"/>
      <c r="D356" s="519"/>
      <c r="E356" s="519"/>
      <c r="F356" s="530"/>
      <c r="G356" s="530"/>
      <c r="H356" s="530"/>
      <c r="I356" s="531"/>
      <c r="J356" s="532"/>
      <c r="K356" s="532"/>
      <c r="L356" s="532"/>
      <c r="M356" s="532"/>
      <c r="N356" s="532"/>
      <c r="O356" s="522"/>
      <c r="P356" s="522"/>
      <c r="Q356" s="522"/>
      <c r="R356" s="522"/>
      <c r="S356" s="522"/>
      <c r="T356" s="522"/>
      <c r="U356" s="522"/>
      <c r="Y356" s="523"/>
    </row>
    <row r="357" spans="1:25" x14ac:dyDescent="0.2">
      <c r="A357" s="519"/>
      <c r="B357" s="519"/>
      <c r="C357" s="519"/>
      <c r="D357" s="519"/>
      <c r="E357" s="519"/>
      <c r="F357" s="530"/>
      <c r="G357" s="530"/>
      <c r="H357" s="530"/>
      <c r="I357" s="531"/>
      <c r="J357" s="532"/>
      <c r="K357" s="532"/>
      <c r="L357" s="532"/>
      <c r="M357" s="532"/>
      <c r="N357" s="532"/>
      <c r="O357" s="522"/>
      <c r="P357" s="522"/>
      <c r="Q357" s="522"/>
      <c r="R357" s="522"/>
      <c r="S357" s="522"/>
      <c r="T357" s="522"/>
      <c r="U357" s="522"/>
      <c r="Y357" s="523"/>
    </row>
    <row r="358" spans="1:25" x14ac:dyDescent="0.2">
      <c r="A358" s="519"/>
      <c r="B358" s="519"/>
      <c r="C358" s="519"/>
      <c r="D358" s="519"/>
      <c r="E358" s="519"/>
      <c r="F358" s="530"/>
      <c r="G358" s="530"/>
      <c r="H358" s="530"/>
      <c r="I358" s="531"/>
      <c r="J358" s="532"/>
      <c r="K358" s="532"/>
      <c r="L358" s="532"/>
      <c r="M358" s="532"/>
      <c r="N358" s="532"/>
      <c r="O358" s="522"/>
      <c r="P358" s="522"/>
      <c r="Q358" s="522"/>
      <c r="R358" s="522"/>
      <c r="S358" s="522"/>
      <c r="T358" s="522"/>
      <c r="U358" s="522"/>
      <c r="Y358" s="523"/>
    </row>
    <row r="359" spans="1:25" x14ac:dyDescent="0.2">
      <c r="A359" s="519"/>
      <c r="B359" s="519"/>
      <c r="C359" s="519"/>
      <c r="D359" s="519"/>
      <c r="E359" s="519"/>
      <c r="F359" s="530"/>
      <c r="G359" s="530"/>
      <c r="H359" s="530"/>
      <c r="I359" s="531"/>
      <c r="J359" s="532"/>
      <c r="K359" s="532"/>
      <c r="L359" s="532"/>
      <c r="M359" s="532"/>
      <c r="N359" s="532"/>
      <c r="O359" s="522"/>
      <c r="P359" s="522"/>
      <c r="Q359" s="522"/>
      <c r="R359" s="522"/>
      <c r="S359" s="522"/>
      <c r="T359" s="522"/>
      <c r="U359" s="522"/>
      <c r="Y359" s="523"/>
    </row>
    <row r="360" spans="1:25" x14ac:dyDescent="0.2">
      <c r="A360" s="519"/>
      <c r="B360" s="519"/>
      <c r="C360" s="519"/>
      <c r="D360" s="519"/>
      <c r="E360" s="519"/>
      <c r="F360" s="530"/>
      <c r="G360" s="530"/>
      <c r="H360" s="530"/>
      <c r="I360" s="531"/>
      <c r="J360" s="532"/>
      <c r="K360" s="532"/>
      <c r="L360" s="532"/>
      <c r="M360" s="532"/>
      <c r="N360" s="532"/>
      <c r="O360" s="522"/>
      <c r="P360" s="522"/>
      <c r="Q360" s="522"/>
      <c r="R360" s="522"/>
      <c r="S360" s="522"/>
      <c r="T360" s="522"/>
      <c r="U360" s="522"/>
      <c r="Y360" s="523"/>
    </row>
    <row r="361" spans="1:25" x14ac:dyDescent="0.2">
      <c r="A361" s="519"/>
      <c r="B361" s="519"/>
      <c r="C361" s="519"/>
      <c r="D361" s="519"/>
      <c r="E361" s="519"/>
      <c r="F361" s="530"/>
      <c r="G361" s="530"/>
      <c r="H361" s="530"/>
      <c r="I361" s="531"/>
      <c r="J361" s="532"/>
      <c r="K361" s="532"/>
      <c r="L361" s="532"/>
      <c r="M361" s="532"/>
      <c r="N361" s="532"/>
      <c r="O361" s="522"/>
      <c r="P361" s="522"/>
      <c r="Q361" s="522"/>
      <c r="R361" s="522"/>
      <c r="S361" s="522"/>
      <c r="T361" s="522"/>
      <c r="U361" s="522"/>
      <c r="Y361" s="523"/>
    </row>
    <row r="362" spans="1:25" x14ac:dyDescent="0.2">
      <c r="A362" s="519"/>
      <c r="B362" s="519"/>
      <c r="C362" s="519"/>
      <c r="D362" s="519"/>
      <c r="E362" s="519"/>
      <c r="F362" s="530"/>
      <c r="G362" s="530"/>
      <c r="H362" s="530"/>
      <c r="I362" s="531"/>
      <c r="J362" s="532"/>
      <c r="K362" s="532"/>
      <c r="L362" s="532"/>
      <c r="M362" s="532"/>
      <c r="N362" s="532"/>
      <c r="O362" s="522"/>
      <c r="P362" s="522"/>
      <c r="Q362" s="522"/>
      <c r="R362" s="522"/>
      <c r="S362" s="522"/>
      <c r="T362" s="522"/>
      <c r="U362" s="522"/>
      <c r="Y362" s="523"/>
    </row>
    <row r="363" spans="1:25" x14ac:dyDescent="0.2">
      <c r="A363" s="519"/>
      <c r="B363" s="519"/>
      <c r="C363" s="519"/>
      <c r="D363" s="519"/>
      <c r="E363" s="519"/>
      <c r="F363" s="530"/>
      <c r="G363" s="530"/>
      <c r="H363" s="530"/>
      <c r="I363" s="531"/>
      <c r="J363" s="532"/>
      <c r="K363" s="532"/>
      <c r="L363" s="532"/>
      <c r="M363" s="532"/>
      <c r="N363" s="532"/>
      <c r="O363" s="522"/>
      <c r="P363" s="522"/>
      <c r="Q363" s="522"/>
      <c r="R363" s="522"/>
      <c r="S363" s="522"/>
      <c r="T363" s="522"/>
      <c r="U363" s="522"/>
      <c r="Y363" s="523"/>
    </row>
    <row r="364" spans="1:25" x14ac:dyDescent="0.2">
      <c r="A364" s="519"/>
      <c r="B364" s="519"/>
      <c r="C364" s="519"/>
      <c r="D364" s="519"/>
      <c r="E364" s="519"/>
      <c r="F364" s="530"/>
      <c r="G364" s="530"/>
      <c r="H364" s="530"/>
      <c r="I364" s="531"/>
      <c r="J364" s="532"/>
      <c r="K364" s="532"/>
      <c r="L364" s="532"/>
      <c r="M364" s="532"/>
      <c r="N364" s="532"/>
      <c r="O364" s="522"/>
      <c r="P364" s="522"/>
      <c r="Q364" s="522"/>
      <c r="R364" s="522"/>
      <c r="S364" s="522"/>
      <c r="T364" s="522"/>
      <c r="U364" s="522"/>
      <c r="Y364" s="523"/>
    </row>
    <row r="365" spans="1:25" x14ac:dyDescent="0.2">
      <c r="A365" s="519"/>
      <c r="B365" s="519"/>
      <c r="C365" s="519"/>
      <c r="D365" s="519"/>
      <c r="E365" s="519"/>
      <c r="F365" s="530"/>
      <c r="G365" s="530"/>
      <c r="H365" s="530"/>
      <c r="I365" s="531"/>
      <c r="J365" s="532"/>
      <c r="K365" s="532"/>
      <c r="L365" s="532"/>
      <c r="M365" s="532"/>
      <c r="N365" s="532"/>
      <c r="O365" s="522"/>
      <c r="P365" s="522"/>
      <c r="Q365" s="522"/>
      <c r="R365" s="522"/>
      <c r="S365" s="522"/>
      <c r="T365" s="522"/>
      <c r="U365" s="522"/>
      <c r="Y365" s="523"/>
    </row>
    <row r="366" spans="1:25" x14ac:dyDescent="0.2">
      <c r="A366" s="519"/>
      <c r="B366" s="519"/>
      <c r="C366" s="519"/>
      <c r="D366" s="519"/>
      <c r="E366" s="519"/>
      <c r="F366" s="530"/>
      <c r="G366" s="530"/>
      <c r="H366" s="530"/>
      <c r="I366" s="531"/>
      <c r="J366" s="532"/>
      <c r="K366" s="532"/>
      <c r="L366" s="532"/>
      <c r="M366" s="532"/>
      <c r="N366" s="532"/>
      <c r="O366" s="522"/>
      <c r="P366" s="522"/>
      <c r="Q366" s="522"/>
      <c r="R366" s="522"/>
      <c r="S366" s="522"/>
      <c r="T366" s="522"/>
      <c r="U366" s="522"/>
      <c r="Y366" s="523"/>
    </row>
    <row r="367" spans="1:25" x14ac:dyDescent="0.2">
      <c r="A367" s="519"/>
      <c r="B367" s="519"/>
      <c r="C367" s="519"/>
      <c r="D367" s="519"/>
      <c r="E367" s="519"/>
      <c r="F367" s="530"/>
      <c r="G367" s="530"/>
      <c r="H367" s="530"/>
      <c r="I367" s="531"/>
      <c r="J367" s="532"/>
      <c r="K367" s="532"/>
      <c r="L367" s="532"/>
      <c r="M367" s="532"/>
      <c r="N367" s="532"/>
      <c r="O367" s="522"/>
      <c r="P367" s="522"/>
      <c r="Q367" s="522"/>
      <c r="R367" s="522"/>
      <c r="S367" s="522"/>
      <c r="T367" s="522"/>
      <c r="U367" s="522"/>
      <c r="Y367" s="523"/>
    </row>
    <row r="368" spans="1:25" x14ac:dyDescent="0.2">
      <c r="A368" s="519"/>
      <c r="B368" s="519"/>
      <c r="C368" s="519"/>
      <c r="D368" s="519"/>
      <c r="E368" s="519"/>
      <c r="F368" s="530"/>
      <c r="G368" s="530"/>
      <c r="H368" s="530"/>
      <c r="I368" s="531"/>
      <c r="J368" s="532"/>
      <c r="K368" s="532"/>
      <c r="L368" s="532"/>
      <c r="M368" s="532"/>
      <c r="N368" s="532"/>
      <c r="O368" s="522"/>
      <c r="P368" s="522"/>
      <c r="Q368" s="522"/>
      <c r="R368" s="522"/>
      <c r="S368" s="522"/>
      <c r="T368" s="522"/>
      <c r="U368" s="522"/>
      <c r="Y368" s="523"/>
    </row>
    <row r="369" spans="1:25" x14ac:dyDescent="0.2">
      <c r="A369" s="519"/>
      <c r="B369" s="519"/>
      <c r="C369" s="519"/>
      <c r="D369" s="519"/>
      <c r="E369" s="519"/>
      <c r="F369" s="530"/>
      <c r="G369" s="530"/>
      <c r="H369" s="530"/>
      <c r="I369" s="531"/>
      <c r="J369" s="532"/>
      <c r="K369" s="532"/>
      <c r="L369" s="532"/>
      <c r="M369" s="532"/>
      <c r="N369" s="532"/>
      <c r="O369" s="522"/>
      <c r="P369" s="522"/>
      <c r="Q369" s="522"/>
      <c r="R369" s="522"/>
      <c r="S369" s="522"/>
      <c r="T369" s="522"/>
      <c r="U369" s="522"/>
      <c r="Y369" s="523"/>
    </row>
    <row r="370" spans="1:25" x14ac:dyDescent="0.2">
      <c r="A370" s="519"/>
      <c r="B370" s="519"/>
      <c r="C370" s="519"/>
      <c r="D370" s="519"/>
      <c r="E370" s="519"/>
      <c r="F370" s="530"/>
      <c r="G370" s="530"/>
      <c r="H370" s="530"/>
      <c r="I370" s="531"/>
      <c r="J370" s="532"/>
      <c r="K370" s="532"/>
      <c r="L370" s="532"/>
      <c r="M370" s="532"/>
      <c r="N370" s="532"/>
      <c r="O370" s="522"/>
      <c r="P370" s="522"/>
      <c r="Q370" s="522"/>
      <c r="R370" s="522"/>
      <c r="S370" s="522"/>
      <c r="T370" s="522"/>
      <c r="U370" s="522"/>
      <c r="Y370" s="523"/>
    </row>
    <row r="371" spans="1:25" x14ac:dyDescent="0.2">
      <c r="A371" s="519"/>
      <c r="B371" s="519"/>
      <c r="C371" s="519"/>
      <c r="D371" s="519"/>
      <c r="E371" s="519"/>
      <c r="F371" s="530"/>
      <c r="G371" s="530"/>
      <c r="H371" s="530"/>
      <c r="I371" s="531"/>
      <c r="J371" s="532"/>
      <c r="K371" s="532"/>
      <c r="L371" s="532"/>
      <c r="M371" s="532"/>
      <c r="N371" s="532"/>
      <c r="O371" s="522"/>
      <c r="P371" s="522"/>
      <c r="Q371" s="522"/>
      <c r="R371" s="522"/>
      <c r="S371" s="522"/>
      <c r="T371" s="522"/>
      <c r="U371" s="522"/>
      <c r="Y371" s="523"/>
    </row>
    <row r="372" spans="1:25" x14ac:dyDescent="0.2">
      <c r="A372" s="519"/>
      <c r="B372" s="519"/>
      <c r="C372" s="519"/>
      <c r="D372" s="519"/>
      <c r="E372" s="519"/>
      <c r="F372" s="530"/>
      <c r="G372" s="530"/>
      <c r="H372" s="530"/>
      <c r="I372" s="531"/>
      <c r="J372" s="532"/>
      <c r="K372" s="532"/>
      <c r="L372" s="532"/>
      <c r="M372" s="532"/>
      <c r="N372" s="532"/>
      <c r="O372" s="522"/>
      <c r="P372" s="522"/>
      <c r="Q372" s="522"/>
      <c r="R372" s="522"/>
      <c r="S372" s="522"/>
      <c r="T372" s="522"/>
      <c r="U372" s="522"/>
      <c r="Y372" s="523"/>
    </row>
    <row r="373" spans="1:25" x14ac:dyDescent="0.2">
      <c r="A373" s="519"/>
      <c r="B373" s="519"/>
      <c r="C373" s="519"/>
      <c r="D373" s="519"/>
      <c r="E373" s="519"/>
      <c r="F373" s="530"/>
      <c r="G373" s="530"/>
      <c r="H373" s="530"/>
      <c r="I373" s="531"/>
      <c r="J373" s="532"/>
      <c r="K373" s="532"/>
      <c r="L373" s="532"/>
      <c r="M373" s="532"/>
      <c r="N373" s="532"/>
      <c r="O373" s="522"/>
      <c r="P373" s="522"/>
      <c r="Q373" s="522"/>
      <c r="R373" s="522"/>
      <c r="S373" s="522"/>
      <c r="T373" s="522"/>
      <c r="U373" s="522"/>
      <c r="Y373" s="523"/>
    </row>
    <row r="374" spans="1:25" x14ac:dyDescent="0.2">
      <c r="A374" s="519"/>
      <c r="B374" s="519"/>
      <c r="C374" s="519"/>
      <c r="D374" s="519"/>
      <c r="E374" s="519"/>
      <c r="F374" s="530"/>
      <c r="G374" s="530"/>
      <c r="H374" s="530"/>
      <c r="I374" s="531"/>
      <c r="J374" s="532"/>
      <c r="K374" s="532"/>
      <c r="L374" s="532"/>
      <c r="M374" s="532"/>
      <c r="N374" s="532"/>
      <c r="O374" s="522"/>
      <c r="P374" s="522"/>
      <c r="Q374" s="522"/>
      <c r="R374" s="522"/>
      <c r="S374" s="522"/>
      <c r="T374" s="522"/>
      <c r="U374" s="522"/>
      <c r="Y374" s="523"/>
    </row>
    <row r="375" spans="1:25" x14ac:dyDescent="0.2">
      <c r="A375" s="519"/>
      <c r="B375" s="519"/>
      <c r="C375" s="519"/>
      <c r="D375" s="519"/>
      <c r="E375" s="519"/>
      <c r="F375" s="530"/>
      <c r="G375" s="530"/>
      <c r="H375" s="530"/>
      <c r="I375" s="531"/>
      <c r="J375" s="532"/>
      <c r="K375" s="532"/>
      <c r="L375" s="532"/>
      <c r="M375" s="532"/>
      <c r="N375" s="532"/>
      <c r="O375" s="522"/>
      <c r="P375" s="522"/>
      <c r="Q375" s="522"/>
      <c r="R375" s="522"/>
      <c r="S375" s="522"/>
      <c r="T375" s="522"/>
      <c r="U375" s="522"/>
      <c r="Y375" s="523"/>
    </row>
    <row r="376" spans="1:25" x14ac:dyDescent="0.2">
      <c r="A376" s="519"/>
      <c r="B376" s="519"/>
      <c r="C376" s="519"/>
      <c r="D376" s="519"/>
      <c r="E376" s="519"/>
      <c r="F376" s="530"/>
      <c r="G376" s="530"/>
      <c r="H376" s="530"/>
      <c r="I376" s="531"/>
      <c r="J376" s="532"/>
      <c r="K376" s="532"/>
      <c r="L376" s="532"/>
      <c r="M376" s="532"/>
      <c r="N376" s="532"/>
      <c r="O376" s="522"/>
      <c r="P376" s="522"/>
      <c r="Q376" s="522"/>
      <c r="R376" s="522"/>
      <c r="S376" s="522"/>
      <c r="T376" s="522"/>
      <c r="U376" s="522"/>
      <c r="Y376" s="523"/>
    </row>
    <row r="377" spans="1:25" x14ac:dyDescent="0.2">
      <c r="A377" s="519"/>
      <c r="B377" s="519"/>
      <c r="C377" s="519"/>
      <c r="D377" s="519"/>
      <c r="E377" s="519"/>
      <c r="F377" s="530"/>
      <c r="G377" s="530"/>
      <c r="H377" s="530"/>
      <c r="I377" s="531"/>
      <c r="J377" s="532"/>
      <c r="K377" s="532"/>
      <c r="L377" s="532"/>
      <c r="M377" s="532"/>
      <c r="N377" s="532"/>
      <c r="O377" s="522"/>
      <c r="P377" s="522"/>
      <c r="Q377" s="522"/>
      <c r="R377" s="522"/>
      <c r="S377" s="522"/>
      <c r="T377" s="522"/>
      <c r="U377" s="522"/>
      <c r="Y377" s="523"/>
    </row>
    <row r="378" spans="1:25" x14ac:dyDescent="0.2">
      <c r="A378" s="519"/>
      <c r="B378" s="519"/>
      <c r="C378" s="519"/>
      <c r="D378" s="519"/>
      <c r="E378" s="519"/>
      <c r="F378" s="530"/>
      <c r="G378" s="530"/>
      <c r="H378" s="530"/>
      <c r="I378" s="531"/>
      <c r="J378" s="532"/>
      <c r="K378" s="532"/>
      <c r="L378" s="532"/>
      <c r="M378" s="532"/>
      <c r="N378" s="532"/>
      <c r="O378" s="522"/>
      <c r="P378" s="522"/>
      <c r="Q378" s="522"/>
      <c r="R378" s="522"/>
      <c r="S378" s="522"/>
      <c r="T378" s="522"/>
      <c r="U378" s="522"/>
      <c r="Y378" s="523"/>
    </row>
    <row r="379" spans="1:25" x14ac:dyDescent="0.2">
      <c r="A379" s="519"/>
      <c r="B379" s="519"/>
      <c r="C379" s="519"/>
      <c r="D379" s="519"/>
      <c r="E379" s="519"/>
      <c r="F379" s="530"/>
      <c r="G379" s="530"/>
      <c r="H379" s="530"/>
      <c r="I379" s="531"/>
      <c r="J379" s="532"/>
      <c r="K379" s="532"/>
      <c r="L379" s="532"/>
      <c r="M379" s="532"/>
      <c r="N379" s="532"/>
      <c r="O379" s="522"/>
      <c r="P379" s="522"/>
      <c r="Q379" s="522"/>
      <c r="R379" s="522"/>
      <c r="S379" s="522"/>
      <c r="T379" s="522"/>
      <c r="U379" s="522"/>
      <c r="Y379" s="523"/>
    </row>
    <row r="380" spans="1:25" x14ac:dyDescent="0.2">
      <c r="A380" s="519"/>
      <c r="B380" s="519"/>
      <c r="C380" s="519"/>
      <c r="D380" s="519"/>
      <c r="E380" s="519"/>
      <c r="F380" s="530"/>
      <c r="G380" s="530"/>
      <c r="H380" s="530"/>
      <c r="I380" s="531"/>
      <c r="J380" s="532"/>
      <c r="K380" s="532"/>
      <c r="L380" s="532"/>
      <c r="M380" s="532"/>
      <c r="N380" s="532"/>
      <c r="O380" s="522"/>
      <c r="P380" s="522"/>
      <c r="Q380" s="522"/>
      <c r="R380" s="522"/>
      <c r="S380" s="522"/>
      <c r="T380" s="522"/>
      <c r="U380" s="522"/>
      <c r="Y380" s="523"/>
    </row>
    <row r="381" spans="1:25" x14ac:dyDescent="0.2">
      <c r="A381" s="519"/>
      <c r="B381" s="519"/>
      <c r="C381" s="519"/>
      <c r="D381" s="519"/>
      <c r="E381" s="519"/>
      <c r="F381" s="530"/>
      <c r="G381" s="530"/>
      <c r="H381" s="530"/>
      <c r="I381" s="531"/>
      <c r="J381" s="532"/>
      <c r="K381" s="532"/>
      <c r="L381" s="532"/>
      <c r="M381" s="532"/>
      <c r="N381" s="532"/>
      <c r="O381" s="522"/>
      <c r="P381" s="522"/>
      <c r="Q381" s="522"/>
      <c r="R381" s="522"/>
      <c r="S381" s="522"/>
      <c r="T381" s="522"/>
      <c r="U381" s="522"/>
      <c r="Y381" s="523"/>
    </row>
    <row r="382" spans="1:25" x14ac:dyDescent="0.2">
      <c r="A382" s="519"/>
      <c r="B382" s="519"/>
      <c r="C382" s="519"/>
      <c r="D382" s="519"/>
      <c r="E382" s="519"/>
      <c r="F382" s="530"/>
      <c r="G382" s="530"/>
      <c r="H382" s="530"/>
      <c r="I382" s="531"/>
      <c r="J382" s="532"/>
      <c r="K382" s="532"/>
      <c r="L382" s="532"/>
      <c r="M382" s="532"/>
      <c r="N382" s="532"/>
      <c r="O382" s="522"/>
      <c r="P382" s="522"/>
      <c r="Q382" s="522"/>
      <c r="R382" s="522"/>
      <c r="S382" s="522"/>
      <c r="T382" s="522"/>
      <c r="U382" s="522"/>
      <c r="Y382" s="523"/>
    </row>
    <row r="383" spans="1:25" x14ac:dyDescent="0.2">
      <c r="A383" s="519"/>
      <c r="B383" s="519"/>
      <c r="C383" s="519"/>
      <c r="D383" s="519"/>
      <c r="E383" s="519"/>
      <c r="F383" s="530"/>
      <c r="G383" s="530"/>
      <c r="H383" s="530"/>
      <c r="I383" s="531"/>
      <c r="J383" s="532"/>
      <c r="K383" s="532"/>
      <c r="L383" s="532"/>
      <c r="M383" s="532"/>
      <c r="N383" s="532"/>
      <c r="O383" s="522"/>
      <c r="P383" s="522"/>
      <c r="Q383" s="522"/>
      <c r="R383" s="522"/>
      <c r="S383" s="522"/>
      <c r="T383" s="522"/>
      <c r="U383" s="522"/>
      <c r="Y383" s="523"/>
    </row>
    <row r="384" spans="1:25" x14ac:dyDescent="0.2">
      <c r="A384" s="519"/>
      <c r="B384" s="519"/>
      <c r="C384" s="519"/>
      <c r="D384" s="519"/>
      <c r="E384" s="519"/>
      <c r="F384" s="530"/>
      <c r="G384" s="530"/>
      <c r="H384" s="530"/>
      <c r="I384" s="531"/>
      <c r="J384" s="532"/>
      <c r="K384" s="532"/>
      <c r="L384" s="532"/>
      <c r="M384" s="532"/>
      <c r="N384" s="532"/>
      <c r="O384" s="522"/>
      <c r="P384" s="522"/>
      <c r="Q384" s="522"/>
      <c r="R384" s="522"/>
      <c r="S384" s="522"/>
      <c r="T384" s="522"/>
      <c r="U384" s="522"/>
      <c r="Y384" s="523"/>
    </row>
    <row r="385" spans="1:25" x14ac:dyDescent="0.2">
      <c r="A385" s="519"/>
      <c r="B385" s="519"/>
      <c r="C385" s="519"/>
      <c r="D385" s="519"/>
      <c r="E385" s="519"/>
      <c r="F385" s="530"/>
      <c r="G385" s="530"/>
      <c r="H385" s="530"/>
      <c r="I385" s="531"/>
      <c r="J385" s="532"/>
      <c r="K385" s="532"/>
      <c r="L385" s="532"/>
      <c r="M385" s="532"/>
      <c r="N385" s="532"/>
      <c r="O385" s="522"/>
      <c r="P385" s="522"/>
      <c r="Q385" s="522"/>
      <c r="R385" s="522"/>
      <c r="S385" s="522"/>
      <c r="T385" s="522"/>
      <c r="U385" s="522"/>
      <c r="Y385" s="523"/>
    </row>
    <row r="386" spans="1:25" x14ac:dyDescent="0.2">
      <c r="A386" s="519"/>
      <c r="B386" s="519"/>
      <c r="C386" s="519"/>
      <c r="D386" s="519"/>
      <c r="E386" s="519"/>
      <c r="F386" s="530"/>
      <c r="G386" s="530"/>
      <c r="H386" s="530"/>
      <c r="I386" s="531"/>
      <c r="J386" s="532"/>
      <c r="K386" s="532"/>
      <c r="L386" s="532"/>
      <c r="M386" s="532"/>
      <c r="N386" s="532"/>
      <c r="O386" s="522"/>
      <c r="P386" s="522"/>
      <c r="Q386" s="522"/>
      <c r="R386" s="522"/>
      <c r="S386" s="522"/>
      <c r="T386" s="522"/>
      <c r="U386" s="522"/>
      <c r="Y386" s="523"/>
    </row>
    <row r="387" spans="1:25" x14ac:dyDescent="0.2">
      <c r="A387" s="519"/>
      <c r="B387" s="519"/>
      <c r="C387" s="519"/>
      <c r="D387" s="519"/>
      <c r="E387" s="519"/>
      <c r="F387" s="530"/>
      <c r="G387" s="530"/>
      <c r="H387" s="530"/>
      <c r="I387" s="531"/>
      <c r="J387" s="532"/>
      <c r="K387" s="532"/>
      <c r="L387" s="532"/>
      <c r="M387" s="532"/>
      <c r="N387" s="532"/>
      <c r="O387" s="522"/>
      <c r="P387" s="522"/>
      <c r="Q387" s="522"/>
      <c r="R387" s="522"/>
      <c r="S387" s="522"/>
      <c r="T387" s="522"/>
      <c r="U387" s="522"/>
      <c r="Y387" s="523"/>
    </row>
    <row r="388" spans="1:25" x14ac:dyDescent="0.2">
      <c r="A388" s="519"/>
      <c r="B388" s="519"/>
      <c r="C388" s="519"/>
      <c r="D388" s="519"/>
      <c r="E388" s="519"/>
      <c r="F388" s="530"/>
      <c r="G388" s="530"/>
      <c r="H388" s="530"/>
      <c r="I388" s="531"/>
      <c r="J388" s="532"/>
      <c r="K388" s="532"/>
      <c r="L388" s="532"/>
      <c r="M388" s="532"/>
      <c r="N388" s="532"/>
      <c r="O388" s="522"/>
      <c r="P388" s="522"/>
      <c r="Q388" s="522"/>
      <c r="R388" s="522"/>
      <c r="S388" s="522"/>
      <c r="T388" s="522"/>
      <c r="U388" s="522"/>
      <c r="Y388" s="523"/>
    </row>
    <row r="389" spans="1:25" x14ac:dyDescent="0.2">
      <c r="A389" s="519"/>
      <c r="B389" s="519"/>
      <c r="C389" s="519"/>
      <c r="D389" s="519"/>
      <c r="E389" s="519"/>
      <c r="F389" s="530"/>
      <c r="G389" s="530"/>
      <c r="H389" s="530"/>
      <c r="I389" s="531"/>
      <c r="J389" s="532"/>
      <c r="K389" s="532"/>
      <c r="L389" s="532"/>
      <c r="M389" s="532"/>
      <c r="N389" s="532"/>
      <c r="O389" s="522"/>
      <c r="P389" s="522"/>
      <c r="Q389" s="522"/>
      <c r="R389" s="522"/>
      <c r="S389" s="522"/>
      <c r="T389" s="522"/>
      <c r="U389" s="522"/>
      <c r="Y389" s="523"/>
    </row>
    <row r="390" spans="1:25" x14ac:dyDescent="0.2">
      <c r="A390" s="519"/>
      <c r="B390" s="519"/>
      <c r="C390" s="519"/>
      <c r="D390" s="519"/>
      <c r="E390" s="519"/>
      <c r="F390" s="530"/>
      <c r="G390" s="530"/>
      <c r="H390" s="530"/>
      <c r="I390" s="531"/>
      <c r="J390" s="532"/>
      <c r="K390" s="532"/>
      <c r="L390" s="532"/>
      <c r="M390" s="532"/>
      <c r="N390" s="532"/>
      <c r="O390" s="522"/>
      <c r="P390" s="522"/>
      <c r="Q390" s="522"/>
      <c r="R390" s="522"/>
      <c r="S390" s="522"/>
      <c r="T390" s="522"/>
      <c r="U390" s="522"/>
      <c r="Y390" s="523"/>
    </row>
    <row r="391" spans="1:25" x14ac:dyDescent="0.2">
      <c r="A391" s="519"/>
      <c r="B391" s="519"/>
      <c r="C391" s="519"/>
      <c r="D391" s="519"/>
      <c r="E391" s="519"/>
      <c r="F391" s="530"/>
      <c r="G391" s="530"/>
      <c r="H391" s="530"/>
      <c r="I391" s="531"/>
      <c r="J391" s="532"/>
      <c r="K391" s="532"/>
      <c r="L391" s="532"/>
      <c r="M391" s="532"/>
      <c r="N391" s="532"/>
      <c r="O391" s="522"/>
      <c r="P391" s="522"/>
      <c r="Q391" s="522"/>
      <c r="R391" s="522"/>
      <c r="S391" s="522"/>
      <c r="T391" s="522"/>
      <c r="U391" s="522"/>
      <c r="Y391" s="523"/>
    </row>
    <row r="392" spans="1:25" x14ac:dyDescent="0.2">
      <c r="A392" s="519"/>
      <c r="B392" s="519"/>
      <c r="C392" s="519"/>
      <c r="D392" s="519"/>
      <c r="E392" s="519"/>
      <c r="F392" s="530"/>
      <c r="G392" s="530"/>
      <c r="H392" s="530"/>
      <c r="I392" s="531"/>
      <c r="J392" s="532"/>
      <c r="K392" s="532"/>
      <c r="L392" s="532"/>
      <c r="M392" s="532"/>
      <c r="N392" s="532"/>
      <c r="O392" s="522"/>
      <c r="P392" s="522"/>
      <c r="Q392" s="522"/>
      <c r="R392" s="522"/>
      <c r="S392" s="522"/>
      <c r="T392" s="522"/>
      <c r="U392" s="522"/>
      <c r="Y392" s="523"/>
    </row>
    <row r="393" spans="1:25" x14ac:dyDescent="0.2">
      <c r="A393" s="519"/>
      <c r="B393" s="519"/>
      <c r="C393" s="519"/>
      <c r="D393" s="519"/>
      <c r="E393" s="519"/>
      <c r="F393" s="530"/>
      <c r="G393" s="530"/>
      <c r="H393" s="530"/>
      <c r="I393" s="531"/>
      <c r="J393" s="532"/>
      <c r="K393" s="532"/>
      <c r="L393" s="532"/>
      <c r="M393" s="532"/>
      <c r="N393" s="532"/>
      <c r="O393" s="522"/>
      <c r="P393" s="522"/>
      <c r="Q393" s="522"/>
      <c r="R393" s="522"/>
      <c r="S393" s="522"/>
      <c r="T393" s="522"/>
      <c r="U393" s="522"/>
      <c r="Y393" s="523"/>
    </row>
    <row r="394" spans="1:25" x14ac:dyDescent="0.2">
      <c r="A394" s="519"/>
      <c r="B394" s="519"/>
      <c r="C394" s="519"/>
      <c r="D394" s="519"/>
      <c r="E394" s="519"/>
      <c r="F394" s="530"/>
      <c r="G394" s="530"/>
      <c r="H394" s="530"/>
      <c r="I394" s="531"/>
      <c r="J394" s="532"/>
      <c r="K394" s="532"/>
      <c r="L394" s="532"/>
      <c r="M394" s="532"/>
      <c r="N394" s="532"/>
      <c r="O394" s="522"/>
      <c r="P394" s="522"/>
      <c r="Q394" s="522"/>
      <c r="R394" s="522"/>
      <c r="S394" s="522"/>
      <c r="T394" s="522"/>
      <c r="U394" s="522"/>
      <c r="Y394" s="523"/>
    </row>
    <row r="395" spans="1:25" x14ac:dyDescent="0.2">
      <c r="A395" s="519"/>
      <c r="B395" s="519"/>
      <c r="C395" s="519"/>
      <c r="D395" s="519"/>
      <c r="E395" s="519"/>
      <c r="F395" s="530"/>
      <c r="G395" s="530"/>
      <c r="H395" s="530"/>
      <c r="I395" s="531"/>
      <c r="J395" s="532"/>
      <c r="K395" s="532"/>
      <c r="L395" s="532"/>
      <c r="M395" s="532"/>
      <c r="N395" s="532"/>
      <c r="O395" s="522"/>
      <c r="P395" s="522"/>
      <c r="Q395" s="522"/>
      <c r="R395" s="522"/>
      <c r="S395" s="522"/>
      <c r="T395" s="522"/>
      <c r="U395" s="522"/>
      <c r="Y395" s="523"/>
    </row>
    <row r="396" spans="1:25" x14ac:dyDescent="0.2">
      <c r="A396" s="519"/>
      <c r="B396" s="519"/>
      <c r="C396" s="519"/>
      <c r="D396" s="519"/>
      <c r="E396" s="519"/>
      <c r="F396" s="530"/>
      <c r="G396" s="530"/>
      <c r="H396" s="530"/>
      <c r="I396" s="531"/>
      <c r="J396" s="532"/>
      <c r="K396" s="532"/>
      <c r="L396" s="532"/>
      <c r="M396" s="532"/>
      <c r="N396" s="532"/>
      <c r="O396" s="522"/>
      <c r="P396" s="522"/>
      <c r="Q396" s="522"/>
      <c r="R396" s="522"/>
      <c r="S396" s="522"/>
      <c r="T396" s="522"/>
      <c r="U396" s="522"/>
      <c r="Y396" s="523"/>
    </row>
    <row r="397" spans="1:25" x14ac:dyDescent="0.2">
      <c r="A397" s="519"/>
      <c r="B397" s="519"/>
      <c r="C397" s="519"/>
      <c r="D397" s="519"/>
      <c r="E397" s="519"/>
      <c r="F397" s="530"/>
      <c r="G397" s="530"/>
      <c r="H397" s="530"/>
      <c r="I397" s="531"/>
      <c r="J397" s="532"/>
      <c r="K397" s="532"/>
      <c r="L397" s="532"/>
      <c r="M397" s="532"/>
      <c r="N397" s="532"/>
      <c r="O397" s="522"/>
      <c r="P397" s="522"/>
      <c r="Q397" s="522"/>
      <c r="R397" s="522"/>
      <c r="S397" s="522"/>
      <c r="T397" s="522"/>
      <c r="U397" s="522"/>
      <c r="Y397" s="523"/>
    </row>
    <row r="398" spans="1:25" x14ac:dyDescent="0.2">
      <c r="A398" s="519"/>
      <c r="B398" s="519"/>
      <c r="C398" s="519"/>
      <c r="D398" s="519"/>
      <c r="E398" s="519"/>
      <c r="F398" s="530"/>
      <c r="G398" s="530"/>
      <c r="H398" s="530"/>
      <c r="I398" s="531"/>
      <c r="J398" s="532"/>
      <c r="K398" s="532"/>
      <c r="L398" s="532"/>
      <c r="M398" s="532"/>
      <c r="N398" s="532"/>
      <c r="O398" s="522"/>
      <c r="P398" s="522"/>
      <c r="Q398" s="522"/>
      <c r="R398" s="522"/>
      <c r="S398" s="522"/>
      <c r="T398" s="522"/>
      <c r="U398" s="522"/>
      <c r="Y398" s="523"/>
    </row>
    <row r="399" spans="1:25" x14ac:dyDescent="0.2">
      <c r="A399" s="519"/>
      <c r="B399" s="519"/>
      <c r="C399" s="519"/>
      <c r="D399" s="519"/>
      <c r="E399" s="519"/>
      <c r="F399" s="530"/>
      <c r="G399" s="530"/>
      <c r="H399" s="530"/>
      <c r="I399" s="531"/>
      <c r="J399" s="532"/>
      <c r="K399" s="532"/>
      <c r="L399" s="532"/>
      <c r="M399" s="532"/>
      <c r="N399" s="532"/>
      <c r="O399" s="522"/>
      <c r="P399" s="522"/>
      <c r="Q399" s="522"/>
      <c r="R399" s="522"/>
      <c r="S399" s="522"/>
      <c r="T399" s="522"/>
      <c r="U399" s="522"/>
      <c r="Y399" s="523"/>
    </row>
    <row r="400" spans="1:25" x14ac:dyDescent="0.2">
      <c r="A400" s="519"/>
      <c r="B400" s="519"/>
      <c r="C400" s="519"/>
      <c r="D400" s="519"/>
      <c r="E400" s="519"/>
      <c r="F400" s="530"/>
      <c r="G400" s="530"/>
      <c r="H400" s="530"/>
      <c r="I400" s="531"/>
      <c r="J400" s="532"/>
      <c r="K400" s="532"/>
      <c r="L400" s="532"/>
      <c r="M400" s="532"/>
      <c r="N400" s="532"/>
      <c r="O400" s="522"/>
      <c r="P400" s="522"/>
      <c r="Q400" s="522"/>
      <c r="R400" s="522"/>
      <c r="S400" s="522"/>
      <c r="T400" s="522"/>
      <c r="U400" s="522"/>
      <c r="Y400" s="523"/>
    </row>
    <row r="401" spans="1:25" x14ac:dyDescent="0.2">
      <c r="A401" s="519"/>
      <c r="B401" s="519"/>
      <c r="C401" s="519"/>
      <c r="D401" s="519"/>
      <c r="E401" s="519"/>
      <c r="F401" s="530"/>
      <c r="G401" s="530"/>
      <c r="H401" s="530"/>
      <c r="I401" s="531"/>
      <c r="J401" s="532"/>
      <c r="K401" s="532"/>
      <c r="L401" s="532"/>
      <c r="M401" s="532"/>
      <c r="N401" s="532"/>
      <c r="O401" s="522"/>
      <c r="P401" s="522"/>
      <c r="Q401" s="522"/>
      <c r="R401" s="522"/>
      <c r="S401" s="522"/>
      <c r="T401" s="522"/>
      <c r="U401" s="522"/>
      <c r="Y401" s="523"/>
    </row>
    <row r="402" spans="1:25" x14ac:dyDescent="0.2">
      <c r="A402" s="519"/>
      <c r="B402" s="519"/>
      <c r="C402" s="519"/>
      <c r="D402" s="519"/>
      <c r="E402" s="519"/>
      <c r="F402" s="530"/>
      <c r="G402" s="530"/>
      <c r="H402" s="530"/>
      <c r="I402" s="531"/>
      <c r="J402" s="532"/>
      <c r="K402" s="532"/>
      <c r="L402" s="532"/>
      <c r="M402" s="532"/>
      <c r="N402" s="532"/>
      <c r="O402" s="522"/>
      <c r="P402" s="522"/>
      <c r="Q402" s="522"/>
      <c r="R402" s="522"/>
      <c r="S402" s="522"/>
      <c r="T402" s="522"/>
      <c r="U402" s="522"/>
      <c r="Y402" s="523"/>
    </row>
    <row r="403" spans="1:25" x14ac:dyDescent="0.2">
      <c r="A403" s="519"/>
      <c r="B403" s="519"/>
      <c r="C403" s="519"/>
      <c r="D403" s="519"/>
      <c r="E403" s="519"/>
      <c r="F403" s="530"/>
      <c r="G403" s="530"/>
      <c r="H403" s="530"/>
      <c r="I403" s="531"/>
      <c r="J403" s="532"/>
      <c r="K403" s="532"/>
      <c r="L403" s="532"/>
      <c r="M403" s="532"/>
      <c r="N403" s="532"/>
      <c r="O403" s="522"/>
      <c r="P403" s="522"/>
      <c r="Q403" s="522"/>
      <c r="R403" s="522"/>
      <c r="S403" s="522"/>
      <c r="T403" s="522"/>
      <c r="U403" s="522"/>
      <c r="Y403" s="523"/>
    </row>
    <row r="404" spans="1:25" x14ac:dyDescent="0.2">
      <c r="A404" s="519"/>
      <c r="B404" s="519"/>
      <c r="C404" s="519"/>
      <c r="D404" s="519"/>
      <c r="E404" s="519"/>
      <c r="F404" s="530"/>
      <c r="G404" s="530"/>
      <c r="H404" s="530"/>
      <c r="I404" s="531"/>
      <c r="J404" s="532"/>
      <c r="K404" s="532"/>
      <c r="L404" s="532"/>
      <c r="M404" s="532"/>
      <c r="N404" s="532"/>
      <c r="O404" s="522"/>
      <c r="P404" s="522"/>
      <c r="Q404" s="522"/>
      <c r="R404" s="522"/>
      <c r="S404" s="522"/>
      <c r="T404" s="522"/>
      <c r="U404" s="522"/>
      <c r="Y404" s="523"/>
    </row>
    <row r="405" spans="1:25" x14ac:dyDescent="0.2">
      <c r="A405" s="519"/>
      <c r="B405" s="519"/>
      <c r="C405" s="519"/>
      <c r="D405" s="519"/>
      <c r="E405" s="519"/>
      <c r="F405" s="530"/>
      <c r="G405" s="530"/>
      <c r="H405" s="530"/>
      <c r="I405" s="531"/>
      <c r="J405" s="532"/>
      <c r="K405" s="532"/>
      <c r="L405" s="532"/>
      <c r="M405" s="532"/>
      <c r="N405" s="532"/>
      <c r="O405" s="522"/>
      <c r="P405" s="522"/>
      <c r="Q405" s="522"/>
      <c r="R405" s="522"/>
      <c r="S405" s="522"/>
      <c r="T405" s="522"/>
      <c r="U405" s="522"/>
      <c r="Y405" s="523"/>
    </row>
    <row r="406" spans="1:25" x14ac:dyDescent="0.2">
      <c r="A406" s="519"/>
      <c r="B406" s="519"/>
      <c r="C406" s="519"/>
      <c r="D406" s="519"/>
      <c r="E406" s="519"/>
      <c r="F406" s="530"/>
      <c r="G406" s="530"/>
      <c r="H406" s="530"/>
      <c r="I406" s="531"/>
      <c r="J406" s="532"/>
      <c r="K406" s="532"/>
      <c r="L406" s="532"/>
      <c r="M406" s="532"/>
      <c r="N406" s="532"/>
      <c r="O406" s="522"/>
      <c r="P406" s="522"/>
      <c r="Q406" s="522"/>
      <c r="R406" s="522"/>
      <c r="S406" s="522"/>
      <c r="T406" s="522"/>
      <c r="U406" s="522"/>
      <c r="Y406" s="523"/>
    </row>
    <row r="407" spans="1:25" x14ac:dyDescent="0.2">
      <c r="A407" s="519"/>
      <c r="B407" s="519"/>
      <c r="C407" s="519"/>
      <c r="D407" s="519"/>
      <c r="E407" s="519"/>
      <c r="F407" s="530"/>
      <c r="G407" s="530"/>
      <c r="H407" s="530"/>
      <c r="I407" s="531"/>
      <c r="J407" s="532"/>
      <c r="K407" s="532"/>
      <c r="L407" s="532"/>
      <c r="M407" s="532"/>
      <c r="N407" s="532"/>
      <c r="O407" s="522"/>
      <c r="P407" s="522"/>
      <c r="Q407" s="522"/>
      <c r="R407" s="522"/>
      <c r="S407" s="522"/>
      <c r="T407" s="522"/>
      <c r="U407" s="522"/>
      <c r="Y407" s="523"/>
    </row>
    <row r="408" spans="1:25" x14ac:dyDescent="0.2">
      <c r="A408" s="519"/>
      <c r="B408" s="519"/>
      <c r="C408" s="519"/>
      <c r="D408" s="519"/>
      <c r="E408" s="519"/>
      <c r="F408" s="530"/>
      <c r="G408" s="530"/>
      <c r="H408" s="530"/>
      <c r="I408" s="531"/>
      <c r="J408" s="532"/>
      <c r="K408" s="532"/>
      <c r="L408" s="532"/>
      <c r="M408" s="532"/>
      <c r="N408" s="532"/>
      <c r="O408" s="522"/>
      <c r="P408" s="522"/>
      <c r="Q408" s="522"/>
      <c r="R408" s="522"/>
      <c r="S408" s="522"/>
      <c r="T408" s="522"/>
      <c r="U408" s="522"/>
      <c r="Y408" s="523"/>
    </row>
    <row r="409" spans="1:25" x14ac:dyDescent="0.2">
      <c r="A409" s="519"/>
      <c r="B409" s="519"/>
      <c r="C409" s="519"/>
      <c r="D409" s="519"/>
      <c r="E409" s="519"/>
      <c r="F409" s="530"/>
      <c r="G409" s="530"/>
      <c r="H409" s="530"/>
      <c r="I409" s="531"/>
      <c r="J409" s="532"/>
      <c r="K409" s="532"/>
      <c r="L409" s="532"/>
      <c r="M409" s="532"/>
      <c r="N409" s="532"/>
      <c r="O409" s="522"/>
      <c r="P409" s="522"/>
      <c r="Q409" s="522"/>
      <c r="R409" s="522"/>
      <c r="S409" s="522"/>
      <c r="T409" s="522"/>
      <c r="U409" s="522"/>
      <c r="Y409" s="523"/>
    </row>
    <row r="410" spans="1:25" x14ac:dyDescent="0.2">
      <c r="A410" s="519"/>
      <c r="B410" s="519"/>
      <c r="C410" s="519"/>
      <c r="D410" s="519"/>
      <c r="E410" s="519"/>
      <c r="F410" s="530"/>
      <c r="G410" s="530"/>
      <c r="H410" s="530"/>
      <c r="I410" s="531"/>
      <c r="J410" s="532"/>
      <c r="K410" s="532"/>
      <c r="L410" s="532"/>
      <c r="M410" s="532"/>
      <c r="N410" s="532"/>
      <c r="O410" s="522"/>
      <c r="P410" s="522"/>
      <c r="Q410" s="522"/>
      <c r="R410" s="522"/>
      <c r="S410" s="522"/>
      <c r="T410" s="522"/>
      <c r="U410" s="522"/>
      <c r="Y410" s="523"/>
    </row>
    <row r="411" spans="1:25" x14ac:dyDescent="0.2">
      <c r="A411" s="519"/>
      <c r="B411" s="519"/>
      <c r="C411" s="519"/>
      <c r="D411" s="519"/>
      <c r="E411" s="519"/>
      <c r="F411" s="530"/>
      <c r="G411" s="530"/>
      <c r="H411" s="530"/>
      <c r="I411" s="531"/>
      <c r="J411" s="532"/>
      <c r="K411" s="532"/>
      <c r="L411" s="532"/>
      <c r="M411" s="532"/>
      <c r="N411" s="532"/>
      <c r="O411" s="522"/>
      <c r="P411" s="522"/>
      <c r="Q411" s="522"/>
      <c r="R411" s="522"/>
      <c r="S411" s="522"/>
      <c r="T411" s="522"/>
      <c r="U411" s="522"/>
      <c r="Y411" s="523"/>
    </row>
    <row r="412" spans="1:25" x14ac:dyDescent="0.2">
      <c r="A412" s="519"/>
      <c r="B412" s="519"/>
      <c r="C412" s="519"/>
      <c r="D412" s="519"/>
      <c r="E412" s="519"/>
      <c r="F412" s="530"/>
      <c r="G412" s="530"/>
      <c r="H412" s="530"/>
      <c r="I412" s="531"/>
      <c r="J412" s="532"/>
      <c r="K412" s="532"/>
      <c r="L412" s="532"/>
      <c r="M412" s="532"/>
      <c r="N412" s="532"/>
      <c r="O412" s="522"/>
      <c r="P412" s="522"/>
      <c r="Q412" s="522"/>
      <c r="R412" s="522"/>
      <c r="S412" s="522"/>
      <c r="T412" s="522"/>
      <c r="U412" s="522"/>
      <c r="Y412" s="523"/>
    </row>
    <row r="413" spans="1:25" x14ac:dyDescent="0.2">
      <c r="A413" s="519"/>
      <c r="B413" s="519"/>
      <c r="C413" s="519"/>
      <c r="D413" s="519"/>
      <c r="E413" s="519"/>
      <c r="F413" s="530"/>
      <c r="G413" s="530"/>
      <c r="H413" s="530"/>
      <c r="I413" s="531"/>
      <c r="J413" s="532"/>
      <c r="K413" s="532"/>
      <c r="L413" s="532"/>
      <c r="M413" s="532"/>
      <c r="N413" s="532"/>
      <c r="O413" s="522"/>
      <c r="P413" s="522"/>
      <c r="Q413" s="522"/>
      <c r="R413" s="522"/>
      <c r="S413" s="522"/>
      <c r="T413" s="522"/>
      <c r="U413" s="522"/>
      <c r="Y413" s="523"/>
    </row>
    <row r="414" spans="1:25" x14ac:dyDescent="0.2">
      <c r="A414" s="519"/>
      <c r="B414" s="519"/>
      <c r="C414" s="519"/>
      <c r="D414" s="519"/>
      <c r="E414" s="519"/>
      <c r="F414" s="530"/>
      <c r="G414" s="530"/>
      <c r="H414" s="530"/>
      <c r="I414" s="531"/>
      <c r="J414" s="532"/>
      <c r="K414" s="532"/>
      <c r="L414" s="532"/>
      <c r="M414" s="532"/>
      <c r="N414" s="532"/>
      <c r="O414" s="522"/>
      <c r="P414" s="522"/>
      <c r="Q414" s="522"/>
      <c r="R414" s="522"/>
      <c r="S414" s="522"/>
      <c r="T414" s="522"/>
      <c r="U414" s="522"/>
      <c r="Y414" s="523"/>
    </row>
    <row r="415" spans="1:25" x14ac:dyDescent="0.2">
      <c r="A415" s="519"/>
      <c r="B415" s="519"/>
      <c r="C415" s="519"/>
      <c r="D415" s="519"/>
      <c r="E415" s="519"/>
      <c r="F415" s="530"/>
      <c r="G415" s="530"/>
      <c r="H415" s="530"/>
      <c r="I415" s="531"/>
      <c r="J415" s="532"/>
      <c r="K415" s="532"/>
      <c r="L415" s="532"/>
      <c r="M415" s="532"/>
      <c r="N415" s="532"/>
      <c r="O415" s="522"/>
      <c r="P415" s="522"/>
      <c r="Q415" s="522"/>
      <c r="R415" s="522"/>
      <c r="S415" s="522"/>
      <c r="T415" s="522"/>
      <c r="U415" s="522"/>
      <c r="Y415" s="523"/>
    </row>
    <row r="416" spans="1:25" x14ac:dyDescent="0.2">
      <c r="A416" s="519"/>
      <c r="B416" s="519"/>
      <c r="C416" s="519"/>
      <c r="D416" s="519"/>
      <c r="E416" s="519"/>
      <c r="F416" s="530"/>
      <c r="G416" s="530"/>
      <c r="H416" s="530"/>
      <c r="I416" s="531"/>
      <c r="J416" s="532"/>
      <c r="K416" s="532"/>
      <c r="L416" s="532"/>
      <c r="M416" s="532"/>
      <c r="N416" s="532"/>
      <c r="O416" s="522"/>
      <c r="P416" s="522"/>
      <c r="Q416" s="522"/>
      <c r="R416" s="522"/>
      <c r="S416" s="522"/>
      <c r="T416" s="522"/>
      <c r="U416" s="522"/>
      <c r="Y416" s="523"/>
    </row>
    <row r="417" spans="1:25" x14ac:dyDescent="0.2">
      <c r="A417" s="519"/>
      <c r="B417" s="519"/>
      <c r="C417" s="519"/>
      <c r="D417" s="519"/>
      <c r="E417" s="519"/>
      <c r="F417" s="530"/>
      <c r="G417" s="530"/>
      <c r="H417" s="530"/>
      <c r="I417" s="531"/>
      <c r="J417" s="532"/>
      <c r="K417" s="532"/>
      <c r="L417" s="532"/>
      <c r="M417" s="532"/>
      <c r="N417" s="532"/>
      <c r="O417" s="522"/>
      <c r="P417" s="522"/>
      <c r="Q417" s="522"/>
      <c r="R417" s="522"/>
      <c r="S417" s="522"/>
      <c r="T417" s="522"/>
      <c r="U417" s="522"/>
      <c r="Y417" s="523"/>
    </row>
    <row r="418" spans="1:25" x14ac:dyDescent="0.2">
      <c r="A418" s="519"/>
      <c r="B418" s="519"/>
      <c r="C418" s="519"/>
      <c r="D418" s="519"/>
      <c r="E418" s="519"/>
      <c r="F418" s="530"/>
      <c r="G418" s="530"/>
      <c r="H418" s="530"/>
      <c r="I418" s="531"/>
      <c r="J418" s="532"/>
      <c r="K418" s="532"/>
      <c r="L418" s="532"/>
      <c r="M418" s="532"/>
      <c r="N418" s="532"/>
      <c r="O418" s="522"/>
      <c r="P418" s="522"/>
      <c r="Q418" s="522"/>
      <c r="R418" s="522"/>
      <c r="S418" s="522"/>
      <c r="T418" s="522"/>
      <c r="U418" s="522"/>
      <c r="Y418" s="523"/>
    </row>
    <row r="419" spans="1:25" x14ac:dyDescent="0.2">
      <c r="A419" s="519"/>
      <c r="B419" s="519"/>
      <c r="C419" s="519"/>
      <c r="D419" s="519"/>
      <c r="E419" s="519"/>
      <c r="F419" s="530"/>
      <c r="G419" s="530"/>
      <c r="H419" s="530"/>
      <c r="I419" s="531"/>
      <c r="J419" s="532"/>
      <c r="K419" s="532"/>
      <c r="L419" s="532"/>
      <c r="M419" s="532"/>
      <c r="N419" s="532"/>
      <c r="O419" s="522"/>
      <c r="P419" s="522"/>
      <c r="Q419" s="522"/>
      <c r="R419" s="522"/>
      <c r="S419" s="522"/>
      <c r="T419" s="522"/>
      <c r="U419" s="522"/>
      <c r="Y419" s="523"/>
    </row>
    <row r="420" spans="1:25" x14ac:dyDescent="0.2">
      <c r="A420" s="519"/>
      <c r="B420" s="519"/>
      <c r="C420" s="519"/>
      <c r="D420" s="519"/>
      <c r="E420" s="519"/>
      <c r="F420" s="530"/>
      <c r="G420" s="530"/>
      <c r="H420" s="530"/>
      <c r="I420" s="531"/>
      <c r="J420" s="532"/>
      <c r="K420" s="532"/>
      <c r="L420" s="532"/>
      <c r="M420" s="532"/>
      <c r="N420" s="532"/>
      <c r="O420" s="522"/>
      <c r="P420" s="522"/>
      <c r="Q420" s="522"/>
      <c r="R420" s="522"/>
      <c r="S420" s="522"/>
      <c r="T420" s="522"/>
      <c r="U420" s="522"/>
      <c r="Y420" s="523"/>
    </row>
    <row r="421" spans="1:25" x14ac:dyDescent="0.2">
      <c r="A421" s="519"/>
      <c r="B421" s="519"/>
      <c r="C421" s="519"/>
      <c r="D421" s="519"/>
      <c r="E421" s="519"/>
      <c r="F421" s="530"/>
      <c r="G421" s="530"/>
      <c r="H421" s="530"/>
      <c r="I421" s="531"/>
      <c r="J421" s="532"/>
      <c r="K421" s="532"/>
      <c r="L421" s="532"/>
      <c r="M421" s="532"/>
      <c r="N421" s="532"/>
      <c r="O421" s="522"/>
      <c r="P421" s="522"/>
      <c r="Q421" s="522"/>
      <c r="R421" s="522"/>
      <c r="S421" s="522"/>
      <c r="T421" s="522"/>
      <c r="U421" s="522"/>
      <c r="Y421" s="523"/>
    </row>
    <row r="422" spans="1:25" x14ac:dyDescent="0.2">
      <c r="A422" s="519"/>
      <c r="B422" s="519"/>
      <c r="C422" s="519"/>
      <c r="D422" s="519"/>
      <c r="E422" s="519"/>
      <c r="F422" s="530"/>
      <c r="G422" s="530"/>
      <c r="H422" s="530"/>
      <c r="I422" s="531"/>
      <c r="J422" s="532"/>
      <c r="K422" s="532"/>
      <c r="L422" s="532"/>
      <c r="M422" s="532"/>
      <c r="N422" s="532"/>
      <c r="O422" s="522"/>
      <c r="P422" s="522"/>
      <c r="Q422" s="522"/>
      <c r="R422" s="522"/>
      <c r="S422" s="522"/>
      <c r="T422" s="522"/>
      <c r="U422" s="522"/>
      <c r="Y422" s="523"/>
    </row>
    <row r="423" spans="1:25" x14ac:dyDescent="0.2">
      <c r="A423" s="519"/>
      <c r="B423" s="519"/>
      <c r="C423" s="519"/>
      <c r="D423" s="519"/>
      <c r="E423" s="519"/>
      <c r="F423" s="530"/>
      <c r="G423" s="530"/>
      <c r="H423" s="530"/>
      <c r="I423" s="531"/>
      <c r="J423" s="532"/>
      <c r="K423" s="532"/>
      <c r="L423" s="532"/>
      <c r="M423" s="532"/>
      <c r="N423" s="532"/>
      <c r="O423" s="522"/>
      <c r="P423" s="522"/>
      <c r="Q423" s="522"/>
      <c r="R423" s="522"/>
      <c r="S423" s="522"/>
      <c r="T423" s="522"/>
      <c r="U423" s="522"/>
      <c r="Y423" s="523"/>
    </row>
    <row r="424" spans="1:25" x14ac:dyDescent="0.2">
      <c r="A424" s="519"/>
      <c r="B424" s="519"/>
      <c r="C424" s="519"/>
      <c r="D424" s="519"/>
      <c r="E424" s="519"/>
      <c r="F424" s="530"/>
      <c r="G424" s="530"/>
      <c r="H424" s="530"/>
      <c r="I424" s="531"/>
      <c r="J424" s="532"/>
      <c r="K424" s="532"/>
      <c r="L424" s="532"/>
      <c r="M424" s="532"/>
      <c r="N424" s="532"/>
      <c r="O424" s="522"/>
      <c r="P424" s="522"/>
      <c r="Q424" s="522"/>
      <c r="R424" s="522"/>
      <c r="S424" s="522"/>
      <c r="T424" s="522"/>
      <c r="U424" s="522"/>
      <c r="Y424" s="523"/>
    </row>
    <row r="425" spans="1:25" x14ac:dyDescent="0.2">
      <c r="A425" s="519"/>
      <c r="B425" s="519"/>
      <c r="C425" s="519"/>
      <c r="D425" s="519"/>
      <c r="E425" s="519"/>
      <c r="F425" s="530"/>
      <c r="G425" s="530"/>
      <c r="H425" s="530"/>
      <c r="I425" s="531"/>
      <c r="J425" s="532"/>
      <c r="K425" s="532"/>
      <c r="L425" s="532"/>
      <c r="M425" s="532"/>
      <c r="N425" s="532"/>
      <c r="O425" s="522"/>
      <c r="P425" s="522"/>
      <c r="Q425" s="522"/>
      <c r="R425" s="522"/>
      <c r="S425" s="522"/>
      <c r="T425" s="522"/>
      <c r="U425" s="522"/>
      <c r="Y425" s="523"/>
    </row>
    <row r="426" spans="1:25" x14ac:dyDescent="0.2">
      <c r="A426" s="519"/>
      <c r="B426" s="519"/>
      <c r="C426" s="519"/>
      <c r="D426" s="519"/>
      <c r="E426" s="519"/>
      <c r="F426" s="530"/>
      <c r="G426" s="530"/>
      <c r="H426" s="530"/>
      <c r="I426" s="531"/>
      <c r="J426" s="532"/>
      <c r="K426" s="532"/>
      <c r="L426" s="532"/>
      <c r="M426" s="532"/>
      <c r="N426" s="532"/>
      <c r="O426" s="522"/>
      <c r="P426" s="522"/>
      <c r="Q426" s="522"/>
      <c r="R426" s="522"/>
      <c r="S426" s="522"/>
      <c r="T426" s="522"/>
      <c r="U426" s="522"/>
      <c r="Y426" s="523"/>
    </row>
    <row r="427" spans="1:25" x14ac:dyDescent="0.2">
      <c r="A427" s="519"/>
      <c r="B427" s="519"/>
      <c r="C427" s="519"/>
      <c r="D427" s="519"/>
      <c r="E427" s="519"/>
      <c r="F427" s="530"/>
      <c r="G427" s="530"/>
      <c r="H427" s="530"/>
      <c r="I427" s="531"/>
      <c r="J427" s="532"/>
      <c r="K427" s="532"/>
      <c r="L427" s="532"/>
      <c r="M427" s="532"/>
      <c r="N427" s="532"/>
      <c r="O427" s="522"/>
      <c r="P427" s="522"/>
      <c r="Q427" s="522"/>
      <c r="R427" s="522"/>
      <c r="S427" s="522"/>
      <c r="T427" s="522"/>
      <c r="U427" s="522"/>
      <c r="Y427" s="523"/>
    </row>
    <row r="428" spans="1:25" x14ac:dyDescent="0.2">
      <c r="A428" s="519"/>
      <c r="B428" s="519"/>
      <c r="C428" s="519"/>
      <c r="D428" s="519"/>
      <c r="E428" s="519"/>
      <c r="F428" s="530"/>
      <c r="G428" s="530"/>
      <c r="H428" s="530"/>
      <c r="I428" s="531"/>
      <c r="J428" s="532"/>
      <c r="K428" s="532"/>
      <c r="L428" s="532"/>
      <c r="M428" s="532"/>
      <c r="N428" s="532"/>
      <c r="O428" s="522"/>
      <c r="P428" s="522"/>
      <c r="Q428" s="522"/>
      <c r="R428" s="522"/>
      <c r="S428" s="522"/>
      <c r="T428" s="522"/>
      <c r="U428" s="522"/>
      <c r="Y428" s="523"/>
    </row>
    <row r="429" spans="1:25" x14ac:dyDescent="0.2">
      <c r="A429" s="519"/>
      <c r="B429" s="519"/>
      <c r="C429" s="519"/>
      <c r="D429" s="519"/>
      <c r="E429" s="519"/>
      <c r="F429" s="530"/>
      <c r="G429" s="530"/>
      <c r="H429" s="530"/>
      <c r="I429" s="531"/>
      <c r="J429" s="532"/>
      <c r="K429" s="532"/>
      <c r="L429" s="532"/>
      <c r="M429" s="532"/>
      <c r="N429" s="532"/>
      <c r="O429" s="522"/>
      <c r="P429" s="522"/>
      <c r="Q429" s="522"/>
      <c r="R429" s="522"/>
      <c r="S429" s="522"/>
      <c r="T429" s="522"/>
      <c r="U429" s="522"/>
      <c r="Y429" s="523"/>
    </row>
    <row r="430" spans="1:25" x14ac:dyDescent="0.2">
      <c r="A430" s="519"/>
      <c r="B430" s="519"/>
      <c r="C430" s="519"/>
      <c r="D430" s="519"/>
      <c r="E430" s="519"/>
      <c r="F430" s="530"/>
      <c r="G430" s="530"/>
      <c r="H430" s="530"/>
      <c r="I430" s="531"/>
      <c r="J430" s="532"/>
      <c r="K430" s="532"/>
      <c r="L430" s="532"/>
      <c r="M430" s="532"/>
      <c r="N430" s="532"/>
      <c r="O430" s="522"/>
      <c r="P430" s="522"/>
      <c r="Q430" s="522"/>
      <c r="R430" s="522"/>
      <c r="S430" s="522"/>
      <c r="T430" s="522"/>
      <c r="U430" s="522"/>
      <c r="Y430" s="523"/>
    </row>
    <row r="431" spans="1:25" x14ac:dyDescent="0.2">
      <c r="A431" s="519"/>
      <c r="B431" s="519"/>
      <c r="C431" s="519"/>
      <c r="D431" s="519"/>
      <c r="E431" s="519"/>
      <c r="F431" s="530"/>
      <c r="G431" s="530"/>
      <c r="H431" s="530"/>
      <c r="I431" s="531"/>
      <c r="J431" s="532"/>
      <c r="K431" s="532"/>
      <c r="L431" s="532"/>
      <c r="M431" s="532"/>
      <c r="N431" s="532"/>
      <c r="O431" s="522"/>
      <c r="P431" s="522"/>
      <c r="Q431" s="522"/>
      <c r="R431" s="522"/>
      <c r="S431" s="522"/>
      <c r="T431" s="522"/>
      <c r="U431" s="522"/>
      <c r="Y431" s="523"/>
    </row>
    <row r="432" spans="1:25" x14ac:dyDescent="0.2">
      <c r="A432" s="519"/>
      <c r="B432" s="519"/>
      <c r="C432" s="519"/>
      <c r="D432" s="519"/>
      <c r="E432" s="519"/>
      <c r="F432" s="530"/>
      <c r="G432" s="530"/>
      <c r="H432" s="530"/>
      <c r="I432" s="531"/>
      <c r="J432" s="532"/>
      <c r="K432" s="532"/>
      <c r="L432" s="532"/>
      <c r="M432" s="532"/>
      <c r="N432" s="532"/>
      <c r="O432" s="522"/>
      <c r="P432" s="522"/>
      <c r="Q432" s="522"/>
      <c r="R432" s="522"/>
      <c r="S432" s="522"/>
      <c r="T432" s="522"/>
      <c r="U432" s="522"/>
      <c r="Y432" s="523"/>
    </row>
    <row r="433" spans="1:25" x14ac:dyDescent="0.2">
      <c r="A433" s="519"/>
      <c r="B433" s="519"/>
      <c r="C433" s="519"/>
      <c r="D433" s="519"/>
      <c r="E433" s="519"/>
      <c r="F433" s="530"/>
      <c r="G433" s="530"/>
      <c r="H433" s="530"/>
      <c r="I433" s="531"/>
      <c r="J433" s="532"/>
      <c r="K433" s="532"/>
      <c r="L433" s="532"/>
      <c r="M433" s="532"/>
      <c r="N433" s="532"/>
      <c r="O433" s="522"/>
      <c r="P433" s="522"/>
      <c r="Q433" s="522"/>
      <c r="R433" s="522"/>
      <c r="S433" s="522"/>
      <c r="T433" s="522"/>
      <c r="U433" s="522"/>
      <c r="Y433" s="523"/>
    </row>
    <row r="434" spans="1:25" x14ac:dyDescent="0.2">
      <c r="A434" s="519"/>
      <c r="B434" s="519"/>
      <c r="C434" s="519"/>
      <c r="D434" s="519"/>
      <c r="E434" s="519"/>
      <c r="F434" s="530"/>
      <c r="G434" s="530"/>
      <c r="H434" s="530"/>
      <c r="I434" s="531"/>
      <c r="J434" s="532"/>
      <c r="K434" s="532"/>
      <c r="L434" s="532"/>
      <c r="M434" s="532"/>
      <c r="N434" s="532"/>
      <c r="O434" s="522"/>
      <c r="P434" s="522"/>
      <c r="Q434" s="522"/>
      <c r="R434" s="522"/>
      <c r="S434" s="522"/>
      <c r="T434" s="522"/>
      <c r="U434" s="522"/>
      <c r="Y434" s="523"/>
    </row>
    <row r="435" spans="1:25" x14ac:dyDescent="0.2">
      <c r="A435" s="519"/>
      <c r="B435" s="519"/>
      <c r="C435" s="519"/>
      <c r="D435" s="519"/>
      <c r="E435" s="519"/>
      <c r="F435" s="530"/>
      <c r="G435" s="530"/>
      <c r="H435" s="530"/>
      <c r="I435" s="531"/>
      <c r="J435" s="532"/>
      <c r="K435" s="532"/>
      <c r="L435" s="532"/>
      <c r="M435" s="532"/>
      <c r="N435" s="532"/>
      <c r="O435" s="522"/>
      <c r="P435" s="522"/>
      <c r="Q435" s="522"/>
      <c r="R435" s="522"/>
      <c r="S435" s="522"/>
      <c r="T435" s="522"/>
      <c r="U435" s="522"/>
      <c r="Y435" s="523"/>
    </row>
    <row r="436" spans="1:25" x14ac:dyDescent="0.2">
      <c r="A436" s="519"/>
      <c r="B436" s="519"/>
      <c r="C436" s="519"/>
      <c r="D436" s="519"/>
      <c r="E436" s="519"/>
      <c r="F436" s="530"/>
      <c r="G436" s="530"/>
      <c r="H436" s="530"/>
      <c r="I436" s="531"/>
      <c r="J436" s="532"/>
      <c r="K436" s="532"/>
      <c r="L436" s="532"/>
      <c r="M436" s="532"/>
      <c r="N436" s="532"/>
      <c r="O436" s="522"/>
      <c r="P436" s="522"/>
      <c r="Q436" s="522"/>
      <c r="R436" s="522"/>
      <c r="S436" s="522"/>
      <c r="T436" s="522"/>
      <c r="U436" s="522"/>
      <c r="Y436" s="523"/>
    </row>
    <row r="437" spans="1:25" x14ac:dyDescent="0.2">
      <c r="A437" s="519"/>
      <c r="B437" s="519"/>
      <c r="C437" s="519"/>
      <c r="D437" s="519"/>
      <c r="E437" s="519"/>
      <c r="F437" s="530"/>
      <c r="G437" s="530"/>
      <c r="H437" s="530"/>
      <c r="I437" s="531"/>
      <c r="J437" s="532"/>
      <c r="K437" s="532"/>
      <c r="L437" s="532"/>
      <c r="M437" s="532"/>
      <c r="N437" s="532"/>
      <c r="O437" s="522"/>
      <c r="P437" s="522"/>
      <c r="Q437" s="522"/>
      <c r="R437" s="522"/>
      <c r="S437" s="522"/>
      <c r="T437" s="522"/>
      <c r="U437" s="522"/>
      <c r="Y437" s="523"/>
    </row>
    <row r="438" spans="1:25" x14ac:dyDescent="0.2">
      <c r="A438" s="519"/>
      <c r="B438" s="519"/>
      <c r="C438" s="519"/>
      <c r="D438" s="519"/>
      <c r="E438" s="519"/>
      <c r="F438" s="530"/>
      <c r="G438" s="530"/>
      <c r="H438" s="530"/>
      <c r="I438" s="531"/>
      <c r="J438" s="532"/>
      <c r="K438" s="532"/>
      <c r="L438" s="532"/>
      <c r="M438" s="532"/>
      <c r="N438" s="532"/>
      <c r="O438" s="522"/>
      <c r="P438" s="522"/>
      <c r="Q438" s="522"/>
      <c r="R438" s="522"/>
      <c r="S438" s="522"/>
      <c r="T438" s="522"/>
      <c r="U438" s="522"/>
      <c r="Y438" s="523"/>
    </row>
    <row r="439" spans="1:25" x14ac:dyDescent="0.2">
      <c r="A439" s="519"/>
      <c r="B439" s="519"/>
      <c r="C439" s="519"/>
      <c r="D439" s="519"/>
      <c r="E439" s="519"/>
      <c r="F439" s="530"/>
      <c r="G439" s="530"/>
      <c r="H439" s="530"/>
      <c r="I439" s="531"/>
      <c r="J439" s="532"/>
      <c r="K439" s="532"/>
      <c r="L439" s="532"/>
      <c r="M439" s="532"/>
      <c r="N439" s="532"/>
      <c r="O439" s="522"/>
      <c r="P439" s="522"/>
      <c r="Q439" s="522"/>
      <c r="R439" s="522"/>
      <c r="S439" s="522"/>
      <c r="T439" s="522"/>
      <c r="U439" s="522"/>
      <c r="Y439" s="523"/>
    </row>
    <row r="440" spans="1:25" x14ac:dyDescent="0.2">
      <c r="A440" s="519"/>
      <c r="B440" s="519"/>
      <c r="C440" s="519"/>
      <c r="D440" s="519"/>
      <c r="E440" s="519"/>
      <c r="F440" s="530"/>
      <c r="G440" s="530"/>
      <c r="H440" s="530"/>
      <c r="I440" s="531"/>
      <c r="J440" s="532"/>
      <c r="K440" s="532"/>
      <c r="L440" s="532"/>
      <c r="M440" s="532"/>
      <c r="N440" s="532"/>
      <c r="O440" s="522"/>
      <c r="P440" s="522"/>
      <c r="Q440" s="522"/>
      <c r="R440" s="522"/>
      <c r="S440" s="522"/>
      <c r="T440" s="522"/>
      <c r="U440" s="522"/>
      <c r="Y440" s="523"/>
    </row>
    <row r="441" spans="1:25" x14ac:dyDescent="0.2">
      <c r="A441" s="519"/>
      <c r="B441" s="519"/>
      <c r="C441" s="519"/>
      <c r="D441" s="519"/>
      <c r="E441" s="519"/>
      <c r="F441" s="530"/>
      <c r="G441" s="530"/>
      <c r="H441" s="530"/>
      <c r="I441" s="531"/>
      <c r="J441" s="532"/>
      <c r="K441" s="532"/>
      <c r="L441" s="532"/>
      <c r="M441" s="532"/>
      <c r="N441" s="532"/>
      <c r="O441" s="522"/>
      <c r="P441" s="522"/>
      <c r="Q441" s="522"/>
      <c r="R441" s="522"/>
      <c r="S441" s="522"/>
      <c r="T441" s="522"/>
      <c r="U441" s="522"/>
      <c r="Y441" s="523"/>
    </row>
    <row r="442" spans="1:25" x14ac:dyDescent="0.2">
      <c r="A442" s="519"/>
      <c r="B442" s="519"/>
      <c r="C442" s="519"/>
      <c r="D442" s="519"/>
      <c r="E442" s="519"/>
      <c r="F442" s="530"/>
      <c r="G442" s="530"/>
      <c r="H442" s="530"/>
      <c r="I442" s="531"/>
      <c r="J442" s="532"/>
      <c r="K442" s="532"/>
      <c r="L442" s="532"/>
      <c r="M442" s="532"/>
      <c r="N442" s="532"/>
      <c r="O442" s="522"/>
      <c r="P442" s="522"/>
      <c r="Q442" s="522"/>
      <c r="R442" s="522"/>
      <c r="S442" s="522"/>
      <c r="T442" s="522"/>
      <c r="U442" s="522"/>
      <c r="Y442" s="523"/>
    </row>
    <row r="443" spans="1:25" x14ac:dyDescent="0.2">
      <c r="A443" s="519"/>
      <c r="B443" s="519"/>
      <c r="C443" s="519"/>
      <c r="D443" s="519"/>
      <c r="E443" s="519"/>
      <c r="F443" s="530"/>
      <c r="G443" s="530"/>
      <c r="H443" s="530"/>
      <c r="I443" s="531"/>
      <c r="J443" s="532"/>
      <c r="K443" s="532"/>
      <c r="L443" s="532"/>
      <c r="M443" s="532"/>
      <c r="N443" s="532"/>
      <c r="O443" s="522"/>
      <c r="P443" s="522"/>
      <c r="Q443" s="522"/>
      <c r="R443" s="522"/>
      <c r="S443" s="522"/>
      <c r="T443" s="522"/>
      <c r="U443" s="522"/>
      <c r="Y443" s="523"/>
    </row>
    <row r="444" spans="1:25" x14ac:dyDescent="0.2">
      <c r="A444" s="519"/>
      <c r="B444" s="519"/>
      <c r="C444" s="519"/>
      <c r="D444" s="519"/>
      <c r="E444" s="519"/>
      <c r="F444" s="530"/>
      <c r="G444" s="530"/>
      <c r="H444" s="530"/>
      <c r="I444" s="531"/>
      <c r="J444" s="532"/>
      <c r="K444" s="532"/>
      <c r="L444" s="532"/>
      <c r="M444" s="532"/>
      <c r="N444" s="532"/>
      <c r="O444" s="522"/>
      <c r="P444" s="522"/>
      <c r="Q444" s="522"/>
      <c r="R444" s="522"/>
      <c r="S444" s="522"/>
      <c r="T444" s="522"/>
      <c r="U444" s="522"/>
      <c r="Y444" s="523"/>
    </row>
    <row r="445" spans="1:25" x14ac:dyDescent="0.2">
      <c r="A445" s="519"/>
      <c r="B445" s="519"/>
      <c r="C445" s="519"/>
      <c r="D445" s="519"/>
      <c r="E445" s="519"/>
      <c r="F445" s="530"/>
      <c r="G445" s="530"/>
      <c r="H445" s="530"/>
      <c r="I445" s="531"/>
      <c r="J445" s="532"/>
      <c r="K445" s="532"/>
      <c r="L445" s="532"/>
      <c r="M445" s="532"/>
      <c r="N445" s="532"/>
      <c r="O445" s="522"/>
      <c r="P445" s="522"/>
      <c r="Q445" s="522"/>
      <c r="R445" s="522"/>
      <c r="S445" s="522"/>
      <c r="T445" s="522"/>
      <c r="U445" s="522"/>
      <c r="Y445" s="523"/>
    </row>
    <row r="446" spans="1:25" x14ac:dyDescent="0.2">
      <c r="A446" s="519"/>
      <c r="B446" s="519"/>
      <c r="C446" s="519"/>
      <c r="D446" s="519"/>
      <c r="E446" s="519"/>
      <c r="F446" s="530"/>
      <c r="G446" s="530"/>
      <c r="H446" s="530"/>
      <c r="I446" s="531"/>
      <c r="J446" s="532"/>
      <c r="K446" s="532"/>
      <c r="L446" s="532"/>
      <c r="M446" s="532"/>
      <c r="N446" s="532"/>
      <c r="O446" s="522"/>
      <c r="P446" s="522"/>
      <c r="Q446" s="522"/>
      <c r="R446" s="522"/>
      <c r="S446" s="522"/>
      <c r="T446" s="522"/>
      <c r="U446" s="522"/>
      <c r="Y446" s="523"/>
    </row>
    <row r="447" spans="1:25" x14ac:dyDescent="0.2">
      <c r="A447" s="519"/>
      <c r="B447" s="519"/>
      <c r="C447" s="519"/>
      <c r="D447" s="519"/>
      <c r="E447" s="519"/>
      <c r="F447" s="530"/>
      <c r="G447" s="530"/>
      <c r="H447" s="530"/>
      <c r="I447" s="531"/>
      <c r="J447" s="532"/>
      <c r="K447" s="532"/>
      <c r="L447" s="532"/>
      <c r="M447" s="532"/>
      <c r="N447" s="532"/>
      <c r="O447" s="522"/>
      <c r="P447" s="522"/>
      <c r="Q447" s="522"/>
      <c r="R447" s="522"/>
      <c r="S447" s="522"/>
      <c r="T447" s="522"/>
      <c r="U447" s="522"/>
      <c r="Y447" s="523"/>
    </row>
    <row r="448" spans="1:25" x14ac:dyDescent="0.2">
      <c r="A448" s="519"/>
      <c r="B448" s="519"/>
      <c r="C448" s="519"/>
      <c r="D448" s="519"/>
      <c r="E448" s="519"/>
      <c r="F448" s="530"/>
      <c r="G448" s="530"/>
      <c r="H448" s="530"/>
      <c r="I448" s="531"/>
      <c r="J448" s="532"/>
      <c r="K448" s="532"/>
      <c r="L448" s="532"/>
      <c r="M448" s="532"/>
      <c r="N448" s="532"/>
      <c r="O448" s="522"/>
      <c r="P448" s="522"/>
      <c r="Q448" s="522"/>
      <c r="R448" s="522"/>
      <c r="S448" s="522"/>
      <c r="T448" s="522"/>
      <c r="U448" s="522"/>
      <c r="Y448" s="523"/>
    </row>
    <row r="449" spans="1:25" x14ac:dyDescent="0.2">
      <c r="A449" s="519"/>
      <c r="B449" s="519"/>
      <c r="C449" s="519"/>
      <c r="D449" s="519"/>
      <c r="E449" s="519"/>
      <c r="F449" s="530"/>
      <c r="G449" s="530"/>
      <c r="H449" s="530"/>
      <c r="I449" s="531"/>
      <c r="J449" s="532"/>
      <c r="K449" s="532"/>
      <c r="L449" s="532"/>
      <c r="M449" s="532"/>
      <c r="N449" s="532"/>
      <c r="O449" s="522"/>
      <c r="P449" s="522"/>
      <c r="Q449" s="522"/>
      <c r="R449" s="522"/>
      <c r="S449" s="522"/>
      <c r="T449" s="522"/>
      <c r="U449" s="522"/>
      <c r="Y449" s="523"/>
    </row>
    <row r="450" spans="1:25" x14ac:dyDescent="0.2">
      <c r="A450" s="519"/>
      <c r="B450" s="519"/>
      <c r="C450" s="519"/>
      <c r="D450" s="519"/>
      <c r="E450" s="519"/>
      <c r="F450" s="530"/>
      <c r="G450" s="530"/>
      <c r="H450" s="530"/>
      <c r="I450" s="531"/>
      <c r="J450" s="532"/>
      <c r="K450" s="532"/>
      <c r="L450" s="532"/>
      <c r="M450" s="532"/>
      <c r="N450" s="532"/>
      <c r="O450" s="522"/>
      <c r="P450" s="522"/>
      <c r="Q450" s="522"/>
      <c r="R450" s="522"/>
      <c r="S450" s="522"/>
      <c r="T450" s="522"/>
      <c r="U450" s="522"/>
      <c r="Y450" s="523"/>
    </row>
    <row r="451" spans="1:25" x14ac:dyDescent="0.2">
      <c r="A451" s="519"/>
      <c r="B451" s="519"/>
      <c r="C451" s="519"/>
      <c r="D451" s="519"/>
      <c r="E451" s="519"/>
      <c r="F451" s="530"/>
      <c r="G451" s="530"/>
      <c r="H451" s="530"/>
      <c r="I451" s="531"/>
      <c r="J451" s="532"/>
      <c r="K451" s="532"/>
      <c r="L451" s="532"/>
      <c r="M451" s="532"/>
      <c r="N451" s="532"/>
      <c r="O451" s="522"/>
      <c r="P451" s="522"/>
      <c r="Q451" s="522"/>
      <c r="R451" s="522"/>
      <c r="S451" s="522"/>
      <c r="T451" s="522"/>
      <c r="U451" s="522"/>
      <c r="Y451" s="523"/>
    </row>
    <row r="452" spans="1:25" x14ac:dyDescent="0.2">
      <c r="A452" s="519"/>
      <c r="B452" s="519"/>
      <c r="C452" s="519"/>
      <c r="D452" s="519"/>
      <c r="E452" s="519"/>
      <c r="F452" s="530"/>
      <c r="G452" s="530"/>
      <c r="H452" s="530"/>
      <c r="I452" s="531"/>
      <c r="J452" s="532"/>
      <c r="K452" s="532"/>
      <c r="L452" s="532"/>
      <c r="M452" s="532"/>
      <c r="N452" s="532"/>
      <c r="O452" s="522"/>
      <c r="P452" s="522"/>
      <c r="Q452" s="522"/>
      <c r="R452" s="522"/>
      <c r="S452" s="522"/>
      <c r="T452" s="522"/>
      <c r="U452" s="522"/>
      <c r="Y452" s="523"/>
    </row>
    <row r="453" spans="1:25" x14ac:dyDescent="0.2">
      <c r="A453" s="519"/>
      <c r="B453" s="519"/>
      <c r="C453" s="519"/>
      <c r="D453" s="519"/>
      <c r="E453" s="519"/>
      <c r="F453" s="530"/>
      <c r="G453" s="530"/>
      <c r="H453" s="530"/>
      <c r="I453" s="531"/>
      <c r="J453" s="532"/>
      <c r="K453" s="532"/>
      <c r="L453" s="532"/>
      <c r="M453" s="532"/>
      <c r="N453" s="532"/>
      <c r="O453" s="522"/>
      <c r="P453" s="522"/>
      <c r="Q453" s="522"/>
      <c r="R453" s="522"/>
      <c r="S453" s="522"/>
      <c r="T453" s="522"/>
      <c r="U453" s="522"/>
      <c r="Y453" s="523"/>
    </row>
    <row r="454" spans="1:25" x14ac:dyDescent="0.2">
      <c r="A454" s="519"/>
      <c r="B454" s="519"/>
      <c r="C454" s="519"/>
      <c r="D454" s="519"/>
      <c r="E454" s="519"/>
      <c r="F454" s="530"/>
      <c r="G454" s="530"/>
      <c r="H454" s="530"/>
      <c r="I454" s="531"/>
      <c r="J454" s="532"/>
      <c r="K454" s="532"/>
      <c r="L454" s="532"/>
      <c r="M454" s="532"/>
      <c r="N454" s="532"/>
      <c r="O454" s="522"/>
      <c r="P454" s="522"/>
      <c r="Q454" s="522"/>
      <c r="R454" s="522"/>
      <c r="S454" s="522"/>
      <c r="T454" s="522"/>
      <c r="U454" s="522"/>
      <c r="Y454" s="523"/>
    </row>
    <row r="455" spans="1:25" x14ac:dyDescent="0.2">
      <c r="A455" s="519"/>
      <c r="B455" s="519"/>
      <c r="C455" s="519"/>
      <c r="D455" s="519"/>
      <c r="E455" s="519"/>
      <c r="F455" s="530"/>
      <c r="G455" s="530"/>
      <c r="H455" s="530"/>
      <c r="I455" s="531"/>
      <c r="J455" s="532"/>
      <c r="K455" s="532"/>
      <c r="L455" s="532"/>
      <c r="M455" s="532"/>
      <c r="N455" s="532"/>
      <c r="O455" s="522"/>
      <c r="P455" s="522"/>
      <c r="Q455" s="522"/>
      <c r="R455" s="522"/>
      <c r="S455" s="522"/>
      <c r="T455" s="522"/>
      <c r="U455" s="522"/>
      <c r="Y455" s="523"/>
    </row>
    <row r="456" spans="1:25" x14ac:dyDescent="0.2">
      <c r="A456" s="519"/>
      <c r="B456" s="519"/>
      <c r="C456" s="519"/>
      <c r="D456" s="519"/>
      <c r="E456" s="519"/>
      <c r="F456" s="530"/>
      <c r="G456" s="530"/>
      <c r="H456" s="530"/>
      <c r="I456" s="531"/>
      <c r="J456" s="532"/>
      <c r="K456" s="532"/>
      <c r="L456" s="532"/>
      <c r="M456" s="532"/>
      <c r="N456" s="532"/>
      <c r="O456" s="522"/>
      <c r="P456" s="522"/>
      <c r="Q456" s="522"/>
      <c r="R456" s="522"/>
      <c r="S456" s="522"/>
      <c r="T456" s="522"/>
      <c r="U456" s="522"/>
      <c r="Y456" s="523"/>
    </row>
    <row r="457" spans="1:25" x14ac:dyDescent="0.2">
      <c r="A457" s="519"/>
      <c r="B457" s="519"/>
      <c r="C457" s="519"/>
      <c r="D457" s="519"/>
      <c r="E457" s="519"/>
      <c r="F457" s="530"/>
      <c r="G457" s="530"/>
      <c r="H457" s="530"/>
      <c r="I457" s="531"/>
      <c r="J457" s="532"/>
      <c r="K457" s="532"/>
      <c r="L457" s="532"/>
      <c r="M457" s="532"/>
      <c r="N457" s="532"/>
      <c r="O457" s="522"/>
      <c r="P457" s="522"/>
      <c r="Q457" s="522"/>
      <c r="R457" s="522"/>
      <c r="S457" s="522"/>
      <c r="T457" s="522"/>
      <c r="U457" s="522"/>
      <c r="Y457" s="523"/>
    </row>
    <row r="458" spans="1:25" x14ac:dyDescent="0.2">
      <c r="A458" s="519"/>
      <c r="B458" s="519"/>
      <c r="C458" s="519"/>
      <c r="D458" s="519"/>
      <c r="E458" s="519"/>
      <c r="F458" s="530"/>
      <c r="G458" s="530"/>
      <c r="H458" s="530"/>
      <c r="I458" s="531"/>
      <c r="J458" s="532"/>
      <c r="K458" s="532"/>
      <c r="L458" s="532"/>
      <c r="M458" s="532"/>
      <c r="N458" s="532"/>
      <c r="O458" s="522"/>
      <c r="P458" s="522"/>
      <c r="Q458" s="522"/>
      <c r="R458" s="522"/>
      <c r="S458" s="522"/>
      <c r="T458" s="522"/>
      <c r="U458" s="522"/>
      <c r="Y458" s="523"/>
    </row>
    <row r="459" spans="1:25" x14ac:dyDescent="0.2">
      <c r="A459" s="519"/>
      <c r="B459" s="519"/>
      <c r="C459" s="519"/>
      <c r="D459" s="519"/>
      <c r="E459" s="519"/>
      <c r="F459" s="530"/>
      <c r="G459" s="530"/>
      <c r="H459" s="530"/>
      <c r="I459" s="531"/>
      <c r="J459" s="532"/>
      <c r="K459" s="532"/>
      <c r="L459" s="532"/>
      <c r="M459" s="532"/>
      <c r="N459" s="532"/>
      <c r="O459" s="522"/>
      <c r="P459" s="522"/>
      <c r="Q459" s="522"/>
      <c r="R459" s="522"/>
      <c r="S459" s="522"/>
      <c r="T459" s="522"/>
      <c r="U459" s="522"/>
      <c r="Y459" s="523"/>
    </row>
    <row r="460" spans="1:25" x14ac:dyDescent="0.2">
      <c r="A460" s="519"/>
      <c r="B460" s="519"/>
      <c r="C460" s="519"/>
      <c r="D460" s="519"/>
      <c r="E460" s="519"/>
      <c r="F460" s="530"/>
      <c r="G460" s="530"/>
      <c r="H460" s="530"/>
      <c r="I460" s="531"/>
      <c r="J460" s="532"/>
      <c r="K460" s="532"/>
      <c r="L460" s="532"/>
      <c r="M460" s="532"/>
      <c r="N460" s="532"/>
      <c r="O460" s="522"/>
      <c r="P460" s="522"/>
      <c r="Q460" s="522"/>
      <c r="R460" s="522"/>
      <c r="S460" s="522"/>
      <c r="T460" s="522"/>
      <c r="U460" s="522"/>
      <c r="Y460" s="523"/>
    </row>
    <row r="461" spans="1:25" x14ac:dyDescent="0.2">
      <c r="A461" s="519"/>
      <c r="B461" s="519"/>
      <c r="C461" s="519"/>
      <c r="D461" s="519"/>
      <c r="E461" s="519"/>
      <c r="F461" s="530"/>
      <c r="G461" s="530"/>
      <c r="H461" s="530"/>
      <c r="I461" s="531"/>
      <c r="J461" s="532"/>
      <c r="K461" s="532"/>
      <c r="L461" s="532"/>
      <c r="M461" s="532"/>
      <c r="N461" s="532"/>
      <c r="O461" s="522"/>
      <c r="P461" s="522"/>
      <c r="Q461" s="522"/>
      <c r="R461" s="522"/>
      <c r="S461" s="522"/>
      <c r="T461" s="522"/>
      <c r="U461" s="522"/>
      <c r="Y461" s="523"/>
    </row>
    <row r="462" spans="1:25" x14ac:dyDescent="0.2">
      <c r="A462" s="519"/>
      <c r="B462" s="519"/>
      <c r="C462" s="519"/>
      <c r="D462" s="519"/>
      <c r="E462" s="519"/>
      <c r="F462" s="530"/>
      <c r="G462" s="530"/>
      <c r="H462" s="530"/>
      <c r="I462" s="531"/>
      <c r="J462" s="532"/>
      <c r="K462" s="532"/>
      <c r="L462" s="532"/>
      <c r="M462" s="532"/>
      <c r="N462" s="532"/>
      <c r="O462" s="522"/>
      <c r="P462" s="522"/>
      <c r="Q462" s="522"/>
      <c r="R462" s="522"/>
      <c r="S462" s="522"/>
      <c r="T462" s="522"/>
      <c r="U462" s="522"/>
      <c r="Y462" s="523"/>
    </row>
    <row r="463" spans="1:25" x14ac:dyDescent="0.2">
      <c r="A463" s="519"/>
      <c r="B463" s="519"/>
      <c r="C463" s="519"/>
      <c r="D463" s="519"/>
      <c r="E463" s="519"/>
      <c r="F463" s="530"/>
      <c r="G463" s="530"/>
      <c r="H463" s="530"/>
      <c r="I463" s="531"/>
      <c r="J463" s="532"/>
      <c r="K463" s="532"/>
      <c r="L463" s="532"/>
      <c r="M463" s="532"/>
      <c r="N463" s="532"/>
      <c r="O463" s="522"/>
      <c r="P463" s="522"/>
      <c r="Q463" s="522"/>
      <c r="R463" s="522"/>
      <c r="S463" s="522"/>
      <c r="T463" s="522"/>
      <c r="U463" s="522"/>
      <c r="Y463" s="523"/>
    </row>
    <row r="464" spans="1:25" x14ac:dyDescent="0.2">
      <c r="A464" s="519"/>
      <c r="B464" s="519"/>
      <c r="C464" s="519"/>
      <c r="D464" s="519"/>
      <c r="E464" s="519"/>
      <c r="F464" s="530"/>
      <c r="G464" s="530"/>
      <c r="H464" s="530"/>
      <c r="I464" s="531"/>
      <c r="J464" s="532"/>
      <c r="K464" s="532"/>
      <c r="L464" s="532"/>
      <c r="M464" s="532"/>
      <c r="N464" s="532"/>
      <c r="O464" s="522"/>
      <c r="P464" s="522"/>
      <c r="Q464" s="522"/>
      <c r="R464" s="522"/>
      <c r="S464" s="522"/>
      <c r="T464" s="522"/>
      <c r="U464" s="522"/>
      <c r="Y464" s="523"/>
    </row>
    <row r="465" spans="1:25" x14ac:dyDescent="0.2">
      <c r="A465" s="519"/>
      <c r="B465" s="519"/>
      <c r="C465" s="519"/>
      <c r="D465" s="519"/>
      <c r="E465" s="519"/>
      <c r="F465" s="530"/>
      <c r="G465" s="530"/>
      <c r="H465" s="530"/>
      <c r="I465" s="531"/>
      <c r="J465" s="532"/>
      <c r="K465" s="532"/>
      <c r="L465" s="532"/>
      <c r="M465" s="532"/>
      <c r="N465" s="532"/>
      <c r="O465" s="522"/>
      <c r="P465" s="522"/>
      <c r="Q465" s="522"/>
      <c r="R465" s="522"/>
      <c r="S465" s="522"/>
      <c r="T465" s="522"/>
      <c r="U465" s="522"/>
      <c r="Y465" s="523"/>
    </row>
    <row r="466" spans="1:25" x14ac:dyDescent="0.2">
      <c r="A466" s="519"/>
      <c r="B466" s="519"/>
      <c r="C466" s="519"/>
      <c r="D466" s="519"/>
      <c r="E466" s="519"/>
      <c r="F466" s="530"/>
      <c r="G466" s="530"/>
      <c r="H466" s="530"/>
      <c r="I466" s="531"/>
      <c r="J466" s="532"/>
      <c r="K466" s="532"/>
      <c r="L466" s="532"/>
      <c r="M466" s="532"/>
      <c r="N466" s="532"/>
      <c r="O466" s="522"/>
      <c r="P466" s="522"/>
      <c r="Q466" s="522"/>
      <c r="R466" s="522"/>
      <c r="S466" s="522"/>
      <c r="T466" s="522"/>
      <c r="U466" s="522"/>
      <c r="Y466" s="523"/>
    </row>
    <row r="467" spans="1:25" x14ac:dyDescent="0.2">
      <c r="A467" s="519"/>
      <c r="B467" s="519"/>
      <c r="C467" s="519"/>
      <c r="D467" s="519"/>
      <c r="E467" s="519"/>
      <c r="F467" s="530"/>
      <c r="G467" s="530"/>
      <c r="H467" s="530"/>
      <c r="I467" s="531"/>
      <c r="J467" s="532"/>
      <c r="K467" s="532"/>
      <c r="L467" s="532"/>
      <c r="M467" s="532"/>
      <c r="N467" s="532"/>
      <c r="O467" s="522"/>
      <c r="P467" s="522"/>
      <c r="Q467" s="522"/>
      <c r="R467" s="522"/>
      <c r="S467" s="522"/>
      <c r="T467" s="522"/>
      <c r="U467" s="522"/>
      <c r="Y467" s="523"/>
    </row>
    <row r="468" spans="1:25" x14ac:dyDescent="0.2">
      <c r="A468" s="519"/>
      <c r="B468" s="519"/>
      <c r="C468" s="519"/>
      <c r="D468" s="519"/>
      <c r="E468" s="519"/>
      <c r="F468" s="530"/>
      <c r="G468" s="530"/>
      <c r="H468" s="530"/>
      <c r="I468" s="531"/>
      <c r="J468" s="532"/>
      <c r="K468" s="532"/>
      <c r="L468" s="532"/>
      <c r="M468" s="532"/>
      <c r="N468" s="532"/>
      <c r="O468" s="522"/>
      <c r="P468" s="522"/>
      <c r="Q468" s="522"/>
      <c r="R468" s="522"/>
      <c r="S468" s="522"/>
      <c r="T468" s="522"/>
      <c r="U468" s="522"/>
      <c r="Y468" s="523"/>
    </row>
    <row r="469" spans="1:25" x14ac:dyDescent="0.2">
      <c r="A469" s="519"/>
      <c r="B469" s="519"/>
      <c r="C469" s="519"/>
      <c r="D469" s="519"/>
      <c r="E469" s="519"/>
      <c r="F469" s="530"/>
      <c r="G469" s="530"/>
      <c r="H469" s="530"/>
      <c r="I469" s="531"/>
      <c r="J469" s="532"/>
      <c r="K469" s="532"/>
      <c r="L469" s="532"/>
      <c r="M469" s="532"/>
      <c r="N469" s="532"/>
      <c r="O469" s="522"/>
      <c r="P469" s="522"/>
      <c r="Q469" s="522"/>
      <c r="R469" s="522"/>
      <c r="S469" s="522"/>
      <c r="T469" s="522"/>
      <c r="U469" s="522"/>
      <c r="Y469" s="523"/>
    </row>
    <row r="470" spans="1:25" x14ac:dyDescent="0.2">
      <c r="A470" s="519"/>
      <c r="B470" s="519"/>
      <c r="C470" s="519"/>
      <c r="D470" s="519"/>
      <c r="E470" s="519"/>
      <c r="F470" s="530"/>
      <c r="G470" s="530"/>
      <c r="H470" s="530"/>
      <c r="I470" s="531"/>
      <c r="J470" s="532"/>
      <c r="K470" s="532"/>
      <c r="L470" s="532"/>
      <c r="M470" s="532"/>
      <c r="N470" s="532"/>
      <c r="O470" s="522"/>
      <c r="P470" s="522"/>
      <c r="Q470" s="522"/>
      <c r="R470" s="522"/>
      <c r="S470" s="522"/>
      <c r="T470" s="522"/>
      <c r="U470" s="522"/>
      <c r="Y470" s="523"/>
    </row>
    <row r="471" spans="1:25" x14ac:dyDescent="0.2">
      <c r="A471" s="519"/>
      <c r="B471" s="519"/>
      <c r="C471" s="519"/>
      <c r="D471" s="519"/>
      <c r="E471" s="519"/>
      <c r="F471" s="530"/>
      <c r="G471" s="530"/>
      <c r="H471" s="530"/>
      <c r="I471" s="531"/>
      <c r="J471" s="532"/>
      <c r="K471" s="532"/>
      <c r="L471" s="532"/>
      <c r="M471" s="532"/>
      <c r="N471" s="532"/>
      <c r="O471" s="522"/>
      <c r="P471" s="522"/>
      <c r="Q471" s="522"/>
      <c r="R471" s="522"/>
      <c r="S471" s="522"/>
      <c r="T471" s="522"/>
      <c r="U471" s="522"/>
      <c r="Y471" s="523"/>
    </row>
    <row r="472" spans="1:25" x14ac:dyDescent="0.2">
      <c r="A472" s="519"/>
      <c r="B472" s="519"/>
      <c r="C472" s="519"/>
      <c r="D472" s="519"/>
      <c r="E472" s="519"/>
      <c r="F472" s="530"/>
      <c r="G472" s="530"/>
      <c r="H472" s="530"/>
      <c r="I472" s="531"/>
      <c r="J472" s="532"/>
      <c r="K472" s="532"/>
      <c r="L472" s="532"/>
      <c r="M472" s="532"/>
      <c r="N472" s="532"/>
      <c r="O472" s="522"/>
      <c r="P472" s="522"/>
      <c r="Q472" s="522"/>
      <c r="R472" s="522"/>
      <c r="S472" s="522"/>
      <c r="T472" s="522"/>
      <c r="U472" s="522"/>
      <c r="Y472" s="523"/>
    </row>
    <row r="473" spans="1:25" x14ac:dyDescent="0.2">
      <c r="A473" s="519"/>
      <c r="B473" s="519"/>
      <c r="C473" s="519"/>
      <c r="D473" s="519"/>
      <c r="E473" s="519"/>
      <c r="F473" s="530"/>
      <c r="G473" s="530"/>
      <c r="H473" s="530"/>
      <c r="I473" s="531"/>
      <c r="J473" s="532"/>
      <c r="K473" s="532"/>
      <c r="L473" s="532"/>
      <c r="M473" s="532"/>
      <c r="N473" s="532"/>
      <c r="O473" s="522"/>
      <c r="P473" s="522"/>
      <c r="Q473" s="522"/>
      <c r="R473" s="522"/>
      <c r="S473" s="522"/>
      <c r="T473" s="522"/>
      <c r="U473" s="522"/>
      <c r="Y473" s="523"/>
    </row>
    <row r="474" spans="1:25" x14ac:dyDescent="0.2">
      <c r="A474" s="519"/>
      <c r="B474" s="519"/>
      <c r="C474" s="519"/>
      <c r="D474" s="519"/>
      <c r="E474" s="519"/>
      <c r="F474" s="530"/>
      <c r="G474" s="530"/>
      <c r="H474" s="530"/>
      <c r="I474" s="531"/>
      <c r="J474" s="532"/>
      <c r="K474" s="532"/>
      <c r="L474" s="532"/>
      <c r="M474" s="532"/>
      <c r="N474" s="532"/>
      <c r="O474" s="522"/>
      <c r="P474" s="522"/>
      <c r="Q474" s="522"/>
      <c r="R474" s="522"/>
      <c r="S474" s="522"/>
      <c r="T474" s="522"/>
      <c r="U474" s="522"/>
      <c r="Y474" s="523"/>
    </row>
    <row r="475" spans="1:25" x14ac:dyDescent="0.2">
      <c r="A475" s="519"/>
      <c r="B475" s="519"/>
      <c r="C475" s="519"/>
      <c r="D475" s="519"/>
      <c r="E475" s="519"/>
      <c r="F475" s="530"/>
      <c r="G475" s="530"/>
      <c r="H475" s="530"/>
      <c r="I475" s="531"/>
      <c r="J475" s="532"/>
      <c r="K475" s="532"/>
      <c r="L475" s="532"/>
      <c r="M475" s="532"/>
      <c r="N475" s="532"/>
      <c r="O475" s="522"/>
      <c r="P475" s="522"/>
      <c r="Q475" s="522"/>
      <c r="R475" s="522"/>
      <c r="S475" s="522"/>
      <c r="T475" s="522"/>
      <c r="U475" s="522"/>
      <c r="Y475" s="523"/>
    </row>
    <row r="476" spans="1:25" x14ac:dyDescent="0.2">
      <c r="A476" s="519"/>
      <c r="B476" s="519"/>
      <c r="C476" s="519"/>
      <c r="D476" s="519"/>
      <c r="E476" s="519"/>
      <c r="F476" s="530"/>
      <c r="G476" s="530"/>
      <c r="H476" s="530"/>
      <c r="I476" s="531"/>
      <c r="J476" s="532"/>
      <c r="K476" s="532"/>
      <c r="L476" s="532"/>
      <c r="M476" s="532"/>
      <c r="N476" s="532"/>
      <c r="O476" s="522"/>
      <c r="P476" s="522"/>
      <c r="Q476" s="522"/>
      <c r="R476" s="522"/>
      <c r="S476" s="522"/>
      <c r="T476" s="522"/>
      <c r="U476" s="522"/>
      <c r="Y476" s="523"/>
    </row>
    <row r="477" spans="1:25" x14ac:dyDescent="0.2">
      <c r="A477" s="519"/>
      <c r="B477" s="519"/>
      <c r="C477" s="519"/>
      <c r="D477" s="519"/>
      <c r="E477" s="519"/>
      <c r="F477" s="530"/>
      <c r="G477" s="530"/>
      <c r="H477" s="530"/>
      <c r="I477" s="531"/>
      <c r="J477" s="532"/>
      <c r="K477" s="532"/>
      <c r="L477" s="532"/>
      <c r="M477" s="532"/>
      <c r="N477" s="532"/>
      <c r="O477" s="522"/>
      <c r="P477" s="522"/>
      <c r="Q477" s="522"/>
      <c r="R477" s="522"/>
      <c r="S477" s="522"/>
      <c r="T477" s="522"/>
      <c r="U477" s="522"/>
      <c r="Y477" s="523"/>
    </row>
    <row r="478" spans="1:25" x14ac:dyDescent="0.2">
      <c r="A478" s="519"/>
      <c r="B478" s="519"/>
      <c r="C478" s="519"/>
      <c r="D478" s="519"/>
      <c r="E478" s="519"/>
      <c r="F478" s="530"/>
      <c r="G478" s="530"/>
      <c r="H478" s="530"/>
      <c r="I478" s="531"/>
      <c r="J478" s="532"/>
      <c r="K478" s="532"/>
      <c r="L478" s="532"/>
      <c r="M478" s="532"/>
      <c r="N478" s="532"/>
      <c r="O478" s="522"/>
      <c r="P478" s="522"/>
      <c r="Q478" s="522"/>
      <c r="R478" s="522"/>
      <c r="S478" s="522"/>
      <c r="T478" s="522"/>
      <c r="U478" s="522"/>
      <c r="Y478" s="523"/>
    </row>
    <row r="479" spans="1:25" x14ac:dyDescent="0.2">
      <c r="A479" s="519"/>
      <c r="B479" s="519"/>
      <c r="C479" s="519"/>
      <c r="D479" s="519"/>
      <c r="E479" s="519"/>
      <c r="F479" s="530"/>
      <c r="G479" s="530"/>
      <c r="H479" s="530"/>
      <c r="I479" s="531"/>
      <c r="J479" s="532"/>
      <c r="K479" s="532"/>
      <c r="L479" s="532"/>
      <c r="M479" s="532"/>
      <c r="N479" s="532"/>
      <c r="O479" s="522"/>
      <c r="P479" s="522"/>
      <c r="Q479" s="522"/>
      <c r="R479" s="522"/>
      <c r="S479" s="522"/>
      <c r="T479" s="522"/>
      <c r="U479" s="522"/>
      <c r="Y479" s="523"/>
    </row>
    <row r="480" spans="1:25" x14ac:dyDescent="0.2">
      <c r="A480" s="519"/>
      <c r="B480" s="519"/>
      <c r="C480" s="519"/>
      <c r="D480" s="519"/>
      <c r="E480" s="519"/>
      <c r="F480" s="530"/>
      <c r="G480" s="530"/>
      <c r="H480" s="530"/>
      <c r="I480" s="531"/>
      <c r="J480" s="532"/>
      <c r="K480" s="532"/>
      <c r="L480" s="532"/>
      <c r="M480" s="532"/>
      <c r="N480" s="532"/>
      <c r="O480" s="522"/>
      <c r="P480" s="522"/>
      <c r="Q480" s="522"/>
      <c r="R480" s="522"/>
      <c r="S480" s="522"/>
      <c r="T480" s="522"/>
      <c r="U480" s="522"/>
      <c r="Y480" s="523"/>
    </row>
    <row r="481" spans="1:25" x14ac:dyDescent="0.2">
      <c r="A481" s="519"/>
      <c r="B481" s="519"/>
      <c r="C481" s="519"/>
      <c r="D481" s="519"/>
      <c r="E481" s="519"/>
      <c r="F481" s="530"/>
      <c r="G481" s="530"/>
      <c r="H481" s="530"/>
      <c r="I481" s="531"/>
      <c r="J481" s="532"/>
      <c r="K481" s="532"/>
      <c r="L481" s="532"/>
      <c r="M481" s="532"/>
      <c r="N481" s="532"/>
      <c r="O481" s="522"/>
      <c r="P481" s="522"/>
      <c r="Q481" s="522"/>
      <c r="R481" s="522"/>
      <c r="S481" s="522"/>
      <c r="T481" s="522"/>
      <c r="U481" s="522"/>
      <c r="Y481" s="523"/>
    </row>
    <row r="482" spans="1:25" x14ac:dyDescent="0.2">
      <c r="A482" s="519"/>
      <c r="B482" s="519"/>
      <c r="C482" s="519"/>
      <c r="D482" s="519"/>
      <c r="E482" s="519"/>
      <c r="F482" s="530"/>
      <c r="G482" s="530"/>
      <c r="H482" s="530"/>
      <c r="I482" s="531"/>
      <c r="J482" s="532"/>
      <c r="K482" s="532"/>
      <c r="L482" s="532"/>
      <c r="M482" s="532"/>
      <c r="N482" s="532"/>
      <c r="O482" s="522"/>
      <c r="P482" s="522"/>
      <c r="Q482" s="522"/>
      <c r="R482" s="522"/>
      <c r="S482" s="522"/>
      <c r="T482" s="522"/>
      <c r="U482" s="522"/>
      <c r="Y482" s="523"/>
    </row>
    <row r="483" spans="1:25" x14ac:dyDescent="0.2">
      <c r="A483" s="519"/>
      <c r="B483" s="519"/>
      <c r="C483" s="519"/>
      <c r="D483" s="519"/>
      <c r="E483" s="519"/>
      <c r="F483" s="530"/>
      <c r="G483" s="530"/>
      <c r="H483" s="530"/>
      <c r="I483" s="531"/>
      <c r="J483" s="532"/>
      <c r="K483" s="532"/>
      <c r="L483" s="532"/>
      <c r="M483" s="532"/>
      <c r="N483" s="532"/>
      <c r="O483" s="522"/>
      <c r="P483" s="522"/>
      <c r="Q483" s="522"/>
      <c r="R483" s="522"/>
      <c r="S483" s="522"/>
      <c r="T483" s="522"/>
      <c r="U483" s="522"/>
      <c r="Y483" s="523"/>
    </row>
    <row r="484" spans="1:25" x14ac:dyDescent="0.2">
      <c r="A484" s="519"/>
      <c r="B484" s="519"/>
      <c r="C484" s="519"/>
      <c r="D484" s="519"/>
      <c r="E484" s="519"/>
      <c r="F484" s="530"/>
      <c r="G484" s="530"/>
      <c r="H484" s="530"/>
      <c r="I484" s="531"/>
      <c r="J484" s="532"/>
      <c r="K484" s="532"/>
      <c r="L484" s="532"/>
      <c r="M484" s="532"/>
      <c r="N484" s="532"/>
      <c r="O484" s="522"/>
      <c r="P484" s="522"/>
      <c r="Q484" s="522"/>
      <c r="R484" s="522"/>
      <c r="S484" s="522"/>
      <c r="T484" s="522"/>
      <c r="U484" s="522"/>
      <c r="Y484" s="523"/>
    </row>
    <row r="485" spans="1:25" x14ac:dyDescent="0.2">
      <c r="A485" s="519"/>
      <c r="B485" s="519"/>
      <c r="C485" s="519"/>
      <c r="D485" s="519"/>
      <c r="E485" s="519"/>
      <c r="F485" s="530"/>
      <c r="G485" s="530"/>
      <c r="H485" s="530"/>
      <c r="I485" s="531"/>
      <c r="J485" s="532"/>
      <c r="K485" s="532"/>
      <c r="L485" s="532"/>
      <c r="M485" s="532"/>
      <c r="N485" s="532"/>
      <c r="O485" s="522"/>
      <c r="P485" s="522"/>
      <c r="Q485" s="522"/>
      <c r="R485" s="522"/>
      <c r="S485" s="522"/>
      <c r="T485" s="522"/>
      <c r="U485" s="522"/>
      <c r="Y485" s="523"/>
    </row>
    <row r="486" spans="1:25" x14ac:dyDescent="0.2">
      <c r="A486" s="519"/>
      <c r="B486" s="519"/>
      <c r="C486" s="519"/>
      <c r="D486" s="519"/>
      <c r="E486" s="519"/>
      <c r="F486" s="530"/>
      <c r="G486" s="530"/>
      <c r="H486" s="530"/>
      <c r="I486" s="531"/>
      <c r="J486" s="532"/>
      <c r="K486" s="532"/>
      <c r="L486" s="532"/>
      <c r="M486" s="532"/>
      <c r="N486" s="532"/>
      <c r="O486" s="522"/>
      <c r="P486" s="522"/>
      <c r="Q486" s="522"/>
      <c r="R486" s="522"/>
      <c r="S486" s="522"/>
      <c r="T486" s="522"/>
      <c r="U486" s="522"/>
      <c r="Y486" s="523"/>
    </row>
    <row r="487" spans="1:25" x14ac:dyDescent="0.2">
      <c r="A487" s="519"/>
      <c r="B487" s="519"/>
      <c r="C487" s="519"/>
      <c r="D487" s="519"/>
      <c r="E487" s="519"/>
      <c r="F487" s="530"/>
      <c r="G487" s="530"/>
      <c r="H487" s="530"/>
      <c r="I487" s="531"/>
      <c r="J487" s="532"/>
      <c r="K487" s="532"/>
      <c r="L487" s="532"/>
      <c r="M487" s="532"/>
      <c r="N487" s="532"/>
      <c r="O487" s="522"/>
      <c r="P487" s="522"/>
      <c r="Q487" s="522"/>
      <c r="R487" s="522"/>
      <c r="S487" s="522"/>
      <c r="T487" s="522"/>
      <c r="U487" s="522"/>
      <c r="Y487" s="523"/>
    </row>
    <row r="488" spans="1:25" x14ac:dyDescent="0.2">
      <c r="A488" s="519"/>
      <c r="B488" s="519"/>
      <c r="C488" s="519"/>
      <c r="D488" s="519"/>
      <c r="E488" s="519"/>
      <c r="F488" s="530"/>
      <c r="G488" s="530"/>
      <c r="H488" s="530"/>
      <c r="I488" s="531"/>
      <c r="J488" s="532"/>
      <c r="K488" s="532"/>
      <c r="L488" s="532"/>
      <c r="M488" s="532"/>
      <c r="N488" s="532"/>
      <c r="O488" s="522"/>
      <c r="P488" s="522"/>
      <c r="Q488" s="522"/>
      <c r="R488" s="522"/>
      <c r="S488" s="522"/>
      <c r="T488" s="522"/>
      <c r="U488" s="522"/>
      <c r="Y488" s="523"/>
    </row>
    <row r="489" spans="1:25" x14ac:dyDescent="0.2">
      <c r="A489" s="519"/>
      <c r="B489" s="519"/>
      <c r="C489" s="519"/>
      <c r="D489" s="519"/>
      <c r="E489" s="519"/>
      <c r="F489" s="530"/>
      <c r="G489" s="530"/>
      <c r="H489" s="530"/>
      <c r="I489" s="531"/>
      <c r="J489" s="532"/>
      <c r="K489" s="532"/>
      <c r="L489" s="532"/>
      <c r="M489" s="532"/>
      <c r="N489" s="532"/>
      <c r="O489" s="522"/>
      <c r="P489" s="522"/>
      <c r="Q489" s="522"/>
      <c r="R489" s="522"/>
      <c r="S489" s="522"/>
      <c r="T489" s="522"/>
      <c r="U489" s="522"/>
      <c r="Y489" s="523"/>
    </row>
    <row r="490" spans="1:25" x14ac:dyDescent="0.2">
      <c r="A490" s="519"/>
      <c r="B490" s="519"/>
      <c r="C490" s="519"/>
      <c r="D490" s="519"/>
      <c r="E490" s="519"/>
      <c r="F490" s="530"/>
      <c r="G490" s="530"/>
      <c r="H490" s="530"/>
      <c r="I490" s="531"/>
      <c r="J490" s="532"/>
      <c r="K490" s="532"/>
      <c r="L490" s="532"/>
      <c r="M490" s="532"/>
      <c r="N490" s="532"/>
      <c r="O490" s="522"/>
      <c r="P490" s="522"/>
      <c r="Q490" s="522"/>
      <c r="R490" s="522"/>
      <c r="S490" s="522"/>
      <c r="T490" s="522"/>
      <c r="U490" s="522"/>
      <c r="Y490" s="523"/>
    </row>
    <row r="491" spans="1:25" x14ac:dyDescent="0.2">
      <c r="A491" s="519"/>
      <c r="B491" s="519"/>
      <c r="C491" s="519"/>
      <c r="D491" s="519"/>
      <c r="E491" s="519"/>
      <c r="F491" s="530"/>
      <c r="G491" s="530"/>
      <c r="H491" s="530"/>
      <c r="I491" s="531"/>
      <c r="J491" s="532"/>
      <c r="K491" s="532"/>
      <c r="L491" s="532"/>
      <c r="M491" s="532"/>
      <c r="N491" s="532"/>
      <c r="O491" s="522"/>
      <c r="P491" s="522"/>
      <c r="Q491" s="522"/>
      <c r="R491" s="522"/>
      <c r="S491" s="522"/>
      <c r="T491" s="522"/>
      <c r="U491" s="522"/>
      <c r="Y491" s="523"/>
    </row>
    <row r="492" spans="1:25" x14ac:dyDescent="0.2">
      <c r="A492" s="519"/>
      <c r="B492" s="519"/>
      <c r="C492" s="519"/>
      <c r="D492" s="519"/>
      <c r="E492" s="519"/>
      <c r="F492" s="530"/>
      <c r="G492" s="530"/>
      <c r="H492" s="530"/>
      <c r="I492" s="531"/>
      <c r="J492" s="532"/>
      <c r="K492" s="532"/>
      <c r="L492" s="532"/>
      <c r="M492" s="532"/>
      <c r="N492" s="532"/>
      <c r="O492" s="522"/>
      <c r="P492" s="522"/>
      <c r="Q492" s="522"/>
      <c r="R492" s="522"/>
      <c r="S492" s="522"/>
      <c r="T492" s="522"/>
      <c r="U492" s="522"/>
      <c r="Y492" s="523"/>
    </row>
    <row r="493" spans="1:25" x14ac:dyDescent="0.2">
      <c r="A493" s="519"/>
      <c r="B493" s="519"/>
      <c r="C493" s="519"/>
      <c r="D493" s="519"/>
      <c r="E493" s="519"/>
      <c r="F493" s="530"/>
      <c r="G493" s="530"/>
      <c r="H493" s="530"/>
      <c r="I493" s="531"/>
      <c r="J493" s="532"/>
      <c r="K493" s="532"/>
      <c r="L493" s="532"/>
      <c r="M493" s="532"/>
      <c r="N493" s="532"/>
      <c r="O493" s="522"/>
      <c r="P493" s="522"/>
      <c r="Q493" s="522"/>
      <c r="R493" s="522"/>
      <c r="S493" s="522"/>
      <c r="T493" s="522"/>
      <c r="U493" s="522"/>
      <c r="Y493" s="523"/>
    </row>
    <row r="494" spans="1:25" x14ac:dyDescent="0.2">
      <c r="A494" s="519"/>
      <c r="B494" s="519"/>
      <c r="C494" s="519"/>
      <c r="D494" s="519"/>
      <c r="E494" s="519"/>
      <c r="F494" s="530"/>
      <c r="G494" s="530"/>
      <c r="H494" s="530"/>
      <c r="I494" s="531"/>
      <c r="J494" s="532"/>
      <c r="K494" s="532"/>
      <c r="L494" s="532"/>
      <c r="M494" s="532"/>
      <c r="N494" s="532"/>
      <c r="O494" s="522"/>
      <c r="P494" s="522"/>
      <c r="Q494" s="522"/>
      <c r="R494" s="522"/>
      <c r="S494" s="522"/>
      <c r="T494" s="522"/>
      <c r="U494" s="522"/>
      <c r="Y494" s="523"/>
    </row>
    <row r="495" spans="1:25" x14ac:dyDescent="0.2">
      <c r="A495" s="519"/>
      <c r="B495" s="519"/>
      <c r="C495" s="519"/>
      <c r="D495" s="519"/>
      <c r="E495" s="519"/>
      <c r="F495" s="530"/>
      <c r="G495" s="530"/>
      <c r="H495" s="530"/>
      <c r="I495" s="531"/>
      <c r="J495" s="532"/>
      <c r="K495" s="532"/>
      <c r="L495" s="532"/>
      <c r="M495" s="532"/>
      <c r="N495" s="532"/>
      <c r="O495" s="522"/>
      <c r="P495" s="522"/>
      <c r="Q495" s="522"/>
      <c r="R495" s="522"/>
      <c r="S495" s="522"/>
      <c r="T495" s="522"/>
      <c r="U495" s="522"/>
      <c r="Y495" s="523"/>
    </row>
    <row r="496" spans="1:25" x14ac:dyDescent="0.2">
      <c r="A496" s="519"/>
      <c r="B496" s="519"/>
      <c r="C496" s="519"/>
      <c r="D496" s="519"/>
      <c r="E496" s="519"/>
      <c r="F496" s="530"/>
      <c r="G496" s="530"/>
      <c r="H496" s="530"/>
      <c r="I496" s="531"/>
      <c r="J496" s="532"/>
      <c r="K496" s="532"/>
      <c r="L496" s="532"/>
      <c r="M496" s="532"/>
      <c r="N496" s="532"/>
      <c r="O496" s="522"/>
      <c r="P496" s="522"/>
      <c r="Q496" s="522"/>
      <c r="R496" s="522"/>
      <c r="S496" s="522"/>
      <c r="T496" s="522"/>
      <c r="U496" s="522"/>
      <c r="Y496" s="523"/>
    </row>
    <row r="497" spans="1:25" x14ac:dyDescent="0.2">
      <c r="A497" s="519"/>
      <c r="B497" s="519"/>
      <c r="C497" s="519"/>
      <c r="D497" s="519"/>
      <c r="E497" s="519"/>
      <c r="F497" s="530"/>
      <c r="G497" s="530"/>
      <c r="H497" s="530"/>
      <c r="I497" s="531"/>
      <c r="J497" s="532"/>
      <c r="K497" s="532"/>
      <c r="L497" s="532"/>
      <c r="M497" s="532"/>
      <c r="N497" s="532"/>
      <c r="O497" s="522"/>
      <c r="P497" s="522"/>
      <c r="Q497" s="522"/>
      <c r="R497" s="522"/>
      <c r="S497" s="522"/>
      <c r="T497" s="522"/>
      <c r="U497" s="522"/>
      <c r="Y497" s="523"/>
    </row>
    <row r="498" spans="1:25" x14ac:dyDescent="0.2">
      <c r="A498" s="519"/>
      <c r="B498" s="519"/>
      <c r="C498" s="519"/>
      <c r="D498" s="519"/>
      <c r="E498" s="519"/>
      <c r="F498" s="530"/>
      <c r="G498" s="530"/>
      <c r="H498" s="530"/>
      <c r="I498" s="531"/>
      <c r="J498" s="532"/>
      <c r="K498" s="532"/>
      <c r="L498" s="532"/>
      <c r="M498" s="532"/>
      <c r="N498" s="532"/>
      <c r="O498" s="522"/>
      <c r="P498" s="522"/>
      <c r="Q498" s="522"/>
      <c r="R498" s="522"/>
      <c r="S498" s="522"/>
      <c r="T498" s="522"/>
      <c r="U498" s="522"/>
      <c r="Y498" s="523"/>
    </row>
    <row r="499" spans="1:25" x14ac:dyDescent="0.2">
      <c r="A499" s="519"/>
      <c r="B499" s="519"/>
      <c r="C499" s="519"/>
      <c r="D499" s="519"/>
      <c r="E499" s="519"/>
      <c r="F499" s="530"/>
      <c r="G499" s="530"/>
      <c r="H499" s="530"/>
      <c r="I499" s="531"/>
      <c r="J499" s="532"/>
      <c r="K499" s="532"/>
      <c r="L499" s="532"/>
      <c r="M499" s="532"/>
      <c r="N499" s="532"/>
      <c r="O499" s="522"/>
      <c r="P499" s="522"/>
      <c r="Q499" s="522"/>
      <c r="R499" s="522"/>
      <c r="S499" s="522"/>
      <c r="T499" s="522"/>
      <c r="U499" s="522"/>
      <c r="Y499" s="523"/>
    </row>
    <row r="500" spans="1:25" x14ac:dyDescent="0.2">
      <c r="A500" s="519"/>
      <c r="B500" s="519"/>
      <c r="C500" s="519"/>
      <c r="D500" s="519"/>
      <c r="E500" s="519"/>
      <c r="F500" s="530"/>
      <c r="G500" s="530"/>
      <c r="H500" s="530"/>
      <c r="I500" s="531"/>
      <c r="J500" s="532"/>
      <c r="K500" s="532"/>
      <c r="L500" s="532"/>
      <c r="M500" s="532"/>
      <c r="N500" s="532"/>
      <c r="O500" s="522"/>
      <c r="P500" s="522"/>
      <c r="Q500" s="522"/>
      <c r="R500" s="522"/>
      <c r="S500" s="522"/>
      <c r="T500" s="522"/>
      <c r="U500" s="522"/>
      <c r="Y500" s="523"/>
    </row>
    <row r="501" spans="1:25" x14ac:dyDescent="0.2">
      <c r="A501" s="519"/>
      <c r="B501" s="519"/>
      <c r="C501" s="519"/>
      <c r="D501" s="519"/>
      <c r="E501" s="519"/>
      <c r="F501" s="530"/>
      <c r="G501" s="530"/>
      <c r="H501" s="530"/>
      <c r="I501" s="531"/>
      <c r="J501" s="532"/>
      <c r="K501" s="532"/>
      <c r="L501" s="532"/>
      <c r="M501" s="532"/>
      <c r="N501" s="532"/>
      <c r="O501" s="522"/>
      <c r="P501" s="522"/>
      <c r="Q501" s="522"/>
      <c r="R501" s="522"/>
      <c r="S501" s="522"/>
      <c r="T501" s="522"/>
      <c r="U501" s="522"/>
      <c r="Y501" s="523"/>
    </row>
    <row r="502" spans="1:25" x14ac:dyDescent="0.2">
      <c r="A502" s="519"/>
      <c r="B502" s="519"/>
      <c r="C502" s="519"/>
      <c r="D502" s="519"/>
      <c r="E502" s="519"/>
      <c r="F502" s="530"/>
      <c r="G502" s="530"/>
      <c r="H502" s="530"/>
      <c r="I502" s="531"/>
      <c r="J502" s="532"/>
      <c r="K502" s="532"/>
      <c r="L502" s="532"/>
      <c r="M502" s="532"/>
      <c r="N502" s="532"/>
      <c r="O502" s="522"/>
      <c r="P502" s="522"/>
      <c r="Q502" s="522"/>
      <c r="R502" s="522"/>
      <c r="S502" s="522"/>
      <c r="T502" s="522"/>
      <c r="U502" s="522"/>
      <c r="Y502" s="523"/>
    </row>
    <row r="503" spans="1:25" x14ac:dyDescent="0.2">
      <c r="A503" s="519"/>
      <c r="B503" s="519"/>
      <c r="C503" s="519"/>
      <c r="D503" s="519"/>
      <c r="E503" s="519"/>
      <c r="F503" s="530"/>
      <c r="G503" s="530"/>
      <c r="H503" s="530"/>
      <c r="I503" s="531"/>
      <c r="J503" s="532"/>
      <c r="K503" s="532"/>
      <c r="L503" s="532"/>
      <c r="M503" s="532"/>
      <c r="N503" s="532"/>
      <c r="O503" s="522"/>
      <c r="P503" s="522"/>
      <c r="Q503" s="522"/>
      <c r="R503" s="522"/>
      <c r="S503" s="522"/>
      <c r="T503" s="522"/>
      <c r="U503" s="522"/>
      <c r="Y503" s="523"/>
    </row>
    <row r="504" spans="1:25" x14ac:dyDescent="0.2">
      <c r="A504" s="519"/>
      <c r="B504" s="519"/>
      <c r="C504" s="519"/>
      <c r="D504" s="519"/>
      <c r="E504" s="519"/>
      <c r="F504" s="530"/>
      <c r="G504" s="530"/>
      <c r="H504" s="530"/>
      <c r="I504" s="531"/>
      <c r="J504" s="532"/>
      <c r="K504" s="532"/>
      <c r="L504" s="532"/>
      <c r="M504" s="532"/>
      <c r="N504" s="532"/>
      <c r="O504" s="522"/>
      <c r="P504" s="522"/>
      <c r="Q504" s="522"/>
      <c r="R504" s="522"/>
      <c r="S504" s="522"/>
      <c r="T504" s="522"/>
      <c r="U504" s="522"/>
      <c r="Y504" s="523"/>
    </row>
    <row r="505" spans="1:25" x14ac:dyDescent="0.2">
      <c r="A505" s="519"/>
      <c r="B505" s="519"/>
      <c r="C505" s="519"/>
      <c r="D505" s="519"/>
      <c r="E505" s="519"/>
      <c r="F505" s="530"/>
      <c r="G505" s="530"/>
      <c r="H505" s="530"/>
      <c r="I505" s="531"/>
      <c r="J505" s="532"/>
      <c r="K505" s="532"/>
      <c r="L505" s="532"/>
      <c r="M505" s="532"/>
      <c r="N505" s="532"/>
      <c r="O505" s="522"/>
      <c r="P505" s="522"/>
      <c r="Q505" s="522"/>
      <c r="R505" s="522"/>
      <c r="S505" s="522"/>
      <c r="T505" s="522"/>
      <c r="U505" s="522"/>
      <c r="Y505" s="523"/>
    </row>
    <row r="506" spans="1:25" x14ac:dyDescent="0.2">
      <c r="A506" s="519"/>
      <c r="B506" s="519"/>
      <c r="C506" s="519"/>
      <c r="D506" s="519"/>
      <c r="E506" s="519"/>
      <c r="F506" s="530"/>
      <c r="G506" s="530"/>
      <c r="H506" s="530"/>
      <c r="I506" s="531"/>
      <c r="J506" s="532"/>
      <c r="K506" s="532"/>
      <c r="L506" s="532"/>
      <c r="M506" s="532"/>
      <c r="N506" s="532"/>
      <c r="O506" s="522"/>
      <c r="P506" s="522"/>
      <c r="Q506" s="522"/>
      <c r="R506" s="522"/>
      <c r="S506" s="522"/>
      <c r="T506" s="522"/>
      <c r="U506" s="522"/>
      <c r="Y506" s="523"/>
    </row>
    <row r="507" spans="1:25" x14ac:dyDescent="0.2">
      <c r="A507" s="519"/>
      <c r="B507" s="519"/>
      <c r="C507" s="519"/>
      <c r="D507" s="519"/>
      <c r="E507" s="519"/>
      <c r="F507" s="530"/>
      <c r="G507" s="530"/>
      <c r="H507" s="530"/>
      <c r="I507" s="531"/>
      <c r="J507" s="532"/>
      <c r="K507" s="532"/>
      <c r="L507" s="532"/>
      <c r="M507" s="532"/>
      <c r="N507" s="532"/>
      <c r="O507" s="522"/>
      <c r="P507" s="522"/>
      <c r="Q507" s="522"/>
      <c r="R507" s="522"/>
      <c r="S507" s="522"/>
      <c r="T507" s="522"/>
      <c r="U507" s="522"/>
      <c r="Y507" s="523"/>
    </row>
    <row r="508" spans="1:25" x14ac:dyDescent="0.2">
      <c r="A508" s="519"/>
      <c r="B508" s="519"/>
      <c r="C508" s="519"/>
      <c r="D508" s="519"/>
      <c r="E508" s="519"/>
      <c r="F508" s="530"/>
      <c r="G508" s="530"/>
      <c r="H508" s="530"/>
      <c r="I508" s="531"/>
      <c r="J508" s="532"/>
      <c r="K508" s="532"/>
      <c r="L508" s="532"/>
      <c r="M508" s="532"/>
      <c r="N508" s="532"/>
      <c r="O508" s="522"/>
      <c r="P508" s="522"/>
      <c r="Q508" s="522"/>
      <c r="R508" s="522"/>
      <c r="S508" s="522"/>
      <c r="T508" s="522"/>
      <c r="U508" s="522"/>
      <c r="Y508" s="523"/>
    </row>
    <row r="509" spans="1:25" x14ac:dyDescent="0.2">
      <c r="A509" s="519"/>
      <c r="B509" s="519"/>
      <c r="C509" s="519"/>
      <c r="D509" s="519"/>
      <c r="E509" s="519"/>
      <c r="F509" s="530"/>
      <c r="G509" s="530"/>
      <c r="H509" s="530"/>
      <c r="I509" s="531"/>
      <c r="J509" s="532"/>
      <c r="K509" s="532"/>
      <c r="L509" s="532"/>
      <c r="M509" s="532"/>
      <c r="N509" s="532"/>
      <c r="O509" s="522"/>
      <c r="P509" s="522"/>
      <c r="Q509" s="522"/>
      <c r="R509" s="522"/>
      <c r="S509" s="522"/>
      <c r="T509" s="522"/>
      <c r="U509" s="522"/>
      <c r="Y509" s="523"/>
    </row>
    <row r="510" spans="1:25" x14ac:dyDescent="0.2">
      <c r="A510" s="519"/>
      <c r="B510" s="519"/>
      <c r="C510" s="519"/>
      <c r="D510" s="519"/>
      <c r="E510" s="519"/>
      <c r="F510" s="530"/>
      <c r="G510" s="530"/>
      <c r="H510" s="530"/>
      <c r="I510" s="531"/>
      <c r="J510" s="532"/>
      <c r="K510" s="532"/>
      <c r="L510" s="532"/>
      <c r="M510" s="532"/>
      <c r="N510" s="532"/>
      <c r="O510" s="522"/>
      <c r="P510" s="522"/>
      <c r="Q510" s="522"/>
      <c r="R510" s="522"/>
      <c r="S510" s="522"/>
      <c r="T510" s="522"/>
      <c r="U510" s="522"/>
      <c r="Y510" s="523"/>
    </row>
    <row r="511" spans="1:25" x14ac:dyDescent="0.2">
      <c r="A511" s="519"/>
      <c r="B511" s="519"/>
      <c r="C511" s="519"/>
      <c r="D511" s="519"/>
      <c r="E511" s="519"/>
      <c r="F511" s="530"/>
      <c r="G511" s="530"/>
      <c r="H511" s="530"/>
      <c r="I511" s="531"/>
      <c r="J511" s="532"/>
      <c r="K511" s="532"/>
      <c r="L511" s="532"/>
      <c r="M511" s="532"/>
      <c r="N511" s="532"/>
      <c r="O511" s="522"/>
      <c r="P511" s="522"/>
      <c r="Q511" s="522"/>
      <c r="R511" s="522"/>
      <c r="S511" s="522"/>
      <c r="T511" s="522"/>
      <c r="U511" s="522"/>
      <c r="Y511" s="523"/>
    </row>
    <row r="512" spans="1:25" x14ac:dyDescent="0.2">
      <c r="A512" s="519"/>
      <c r="B512" s="519"/>
      <c r="C512" s="519"/>
      <c r="D512" s="519"/>
      <c r="E512" s="519"/>
      <c r="F512" s="530"/>
      <c r="G512" s="530"/>
      <c r="H512" s="530"/>
      <c r="I512" s="531"/>
      <c r="J512" s="532"/>
      <c r="K512" s="532"/>
      <c r="L512" s="532"/>
      <c r="M512" s="532"/>
      <c r="N512" s="532"/>
      <c r="O512" s="522"/>
      <c r="P512" s="522"/>
      <c r="Q512" s="522"/>
      <c r="R512" s="522"/>
      <c r="S512" s="522"/>
      <c r="T512" s="522"/>
      <c r="U512" s="522"/>
      <c r="Y512" s="523"/>
    </row>
    <row r="513" spans="1:25" x14ac:dyDescent="0.2">
      <c r="A513" s="519"/>
      <c r="B513" s="519"/>
      <c r="C513" s="519"/>
      <c r="D513" s="519"/>
      <c r="E513" s="519"/>
      <c r="F513" s="530"/>
      <c r="G513" s="530"/>
      <c r="H513" s="530"/>
      <c r="I513" s="531"/>
      <c r="J513" s="532"/>
      <c r="K513" s="532"/>
      <c r="L513" s="532"/>
      <c r="M513" s="532"/>
      <c r="N513" s="532"/>
      <c r="O513" s="522"/>
      <c r="P513" s="522"/>
      <c r="Q513" s="522"/>
      <c r="R513" s="522"/>
      <c r="S513" s="522"/>
      <c r="T513" s="522"/>
      <c r="U513" s="522"/>
      <c r="Y513" s="523"/>
    </row>
    <row r="514" spans="1:25" x14ac:dyDescent="0.2">
      <c r="A514" s="519"/>
      <c r="B514" s="519"/>
      <c r="C514" s="519"/>
      <c r="D514" s="519"/>
      <c r="E514" s="519"/>
      <c r="F514" s="530"/>
      <c r="G514" s="530"/>
      <c r="H514" s="530"/>
      <c r="I514" s="531"/>
      <c r="J514" s="532"/>
      <c r="K514" s="532"/>
      <c r="L514" s="532"/>
      <c r="M514" s="532"/>
      <c r="N514" s="532"/>
      <c r="O514" s="522"/>
      <c r="P514" s="522"/>
      <c r="Q514" s="522"/>
      <c r="R514" s="522"/>
      <c r="S514" s="522"/>
      <c r="T514" s="522"/>
      <c r="U514" s="522"/>
      <c r="Y514" s="523"/>
    </row>
    <row r="515" spans="1:25" x14ac:dyDescent="0.2">
      <c r="A515" s="519"/>
      <c r="B515" s="519"/>
      <c r="C515" s="519"/>
      <c r="D515" s="519"/>
      <c r="E515" s="519"/>
      <c r="F515" s="530"/>
      <c r="G515" s="530"/>
      <c r="H515" s="530"/>
      <c r="I515" s="531"/>
      <c r="J515" s="532"/>
      <c r="K515" s="532"/>
      <c r="L515" s="532"/>
      <c r="M515" s="532"/>
      <c r="N515" s="532"/>
      <c r="O515" s="522"/>
      <c r="P515" s="522"/>
      <c r="Q515" s="522"/>
      <c r="R515" s="522"/>
      <c r="S515" s="522"/>
      <c r="T515" s="522"/>
      <c r="U515" s="522"/>
      <c r="Y515" s="523"/>
    </row>
    <row r="516" spans="1:25" x14ac:dyDescent="0.2">
      <c r="A516" s="519"/>
      <c r="B516" s="519"/>
      <c r="C516" s="519"/>
      <c r="D516" s="519"/>
      <c r="E516" s="519"/>
      <c r="F516" s="530"/>
      <c r="G516" s="530"/>
      <c r="H516" s="530"/>
      <c r="I516" s="531"/>
      <c r="J516" s="532"/>
      <c r="K516" s="532"/>
      <c r="L516" s="532"/>
      <c r="M516" s="532"/>
      <c r="N516" s="532"/>
      <c r="O516" s="522"/>
      <c r="P516" s="522"/>
      <c r="Q516" s="522"/>
      <c r="R516" s="522"/>
      <c r="S516" s="522"/>
      <c r="T516" s="522"/>
      <c r="U516" s="522"/>
      <c r="Y516" s="523"/>
    </row>
    <row r="517" spans="1:25" x14ac:dyDescent="0.2">
      <c r="A517" s="519"/>
      <c r="B517" s="519"/>
      <c r="C517" s="519"/>
      <c r="D517" s="519"/>
      <c r="E517" s="519"/>
      <c r="F517" s="530"/>
      <c r="G517" s="530"/>
      <c r="H517" s="530"/>
      <c r="I517" s="531"/>
      <c r="J517" s="532"/>
      <c r="K517" s="532"/>
      <c r="L517" s="532"/>
      <c r="M517" s="532"/>
      <c r="N517" s="532"/>
      <c r="O517" s="522"/>
      <c r="P517" s="522"/>
      <c r="Q517" s="522"/>
      <c r="R517" s="522"/>
      <c r="S517" s="522"/>
      <c r="T517" s="522"/>
      <c r="U517" s="522"/>
      <c r="Y517" s="523"/>
    </row>
    <row r="518" spans="1:25" x14ac:dyDescent="0.2">
      <c r="A518" s="519"/>
      <c r="B518" s="519"/>
      <c r="C518" s="519"/>
      <c r="D518" s="519"/>
      <c r="E518" s="519"/>
      <c r="F518" s="530"/>
      <c r="G518" s="530"/>
      <c r="H518" s="530"/>
      <c r="I518" s="531"/>
      <c r="J518" s="532"/>
      <c r="K518" s="532"/>
      <c r="L518" s="532"/>
      <c r="M518" s="532"/>
      <c r="N518" s="532"/>
      <c r="O518" s="522"/>
      <c r="P518" s="522"/>
      <c r="Q518" s="522"/>
      <c r="R518" s="522"/>
      <c r="S518" s="522"/>
      <c r="T518" s="522"/>
      <c r="U518" s="522"/>
      <c r="Y518" s="523"/>
    </row>
    <row r="519" spans="1:25" x14ac:dyDescent="0.2">
      <c r="A519" s="519"/>
      <c r="B519" s="519"/>
      <c r="C519" s="519"/>
      <c r="D519" s="519"/>
      <c r="E519" s="519"/>
      <c r="F519" s="530"/>
      <c r="G519" s="530"/>
      <c r="H519" s="530"/>
      <c r="I519" s="531"/>
      <c r="J519" s="532"/>
      <c r="K519" s="532"/>
      <c r="L519" s="532"/>
      <c r="M519" s="532"/>
      <c r="N519" s="532"/>
      <c r="O519" s="522"/>
      <c r="P519" s="522"/>
      <c r="Q519" s="522"/>
      <c r="R519" s="522"/>
      <c r="S519" s="522"/>
      <c r="T519" s="522"/>
      <c r="U519" s="522"/>
      <c r="Y519" s="523"/>
    </row>
    <row r="520" spans="1:25" x14ac:dyDescent="0.2">
      <c r="A520" s="519"/>
      <c r="B520" s="519"/>
      <c r="C520" s="519"/>
      <c r="D520" s="519"/>
      <c r="E520" s="519"/>
      <c r="F520" s="530"/>
      <c r="G520" s="530"/>
      <c r="H520" s="530"/>
      <c r="I520" s="531"/>
      <c r="J520" s="532"/>
      <c r="K520" s="532"/>
      <c r="L520" s="532"/>
      <c r="M520" s="532"/>
      <c r="N520" s="532"/>
      <c r="O520" s="522"/>
      <c r="P520" s="522"/>
      <c r="Q520" s="522"/>
      <c r="R520" s="522"/>
      <c r="S520" s="522"/>
      <c r="T520" s="522"/>
      <c r="U520" s="522"/>
      <c r="Y520" s="523"/>
    </row>
    <row r="521" spans="1:25" x14ac:dyDescent="0.2">
      <c r="A521" s="519"/>
      <c r="B521" s="519"/>
      <c r="C521" s="519"/>
      <c r="D521" s="519"/>
      <c r="E521" s="519"/>
      <c r="F521" s="530"/>
      <c r="G521" s="530"/>
      <c r="H521" s="530"/>
      <c r="I521" s="531"/>
      <c r="J521" s="532"/>
      <c r="K521" s="532"/>
      <c r="L521" s="532"/>
      <c r="M521" s="532"/>
      <c r="N521" s="532"/>
      <c r="O521" s="522"/>
      <c r="P521" s="522"/>
      <c r="Q521" s="522"/>
      <c r="R521" s="522"/>
      <c r="S521" s="522"/>
      <c r="T521" s="522"/>
      <c r="U521" s="522"/>
      <c r="Y521" s="523"/>
    </row>
    <row r="522" spans="1:25" x14ac:dyDescent="0.2">
      <c r="A522" s="519"/>
      <c r="B522" s="519"/>
      <c r="C522" s="519"/>
      <c r="D522" s="519"/>
      <c r="E522" s="519"/>
      <c r="F522" s="530"/>
      <c r="G522" s="530"/>
      <c r="H522" s="530"/>
      <c r="I522" s="531"/>
      <c r="J522" s="532"/>
      <c r="K522" s="532"/>
      <c r="L522" s="532"/>
      <c r="M522" s="532"/>
      <c r="N522" s="532"/>
      <c r="O522" s="522"/>
      <c r="P522" s="522"/>
      <c r="Q522" s="522"/>
      <c r="R522" s="522"/>
      <c r="S522" s="522"/>
      <c r="T522" s="522"/>
      <c r="U522" s="522"/>
      <c r="Y522" s="523"/>
    </row>
    <row r="523" spans="1:25" x14ac:dyDescent="0.2">
      <c r="A523" s="519"/>
      <c r="B523" s="519"/>
      <c r="C523" s="519"/>
      <c r="D523" s="519"/>
      <c r="E523" s="519"/>
      <c r="F523" s="530"/>
      <c r="G523" s="530"/>
      <c r="H523" s="530"/>
      <c r="I523" s="531"/>
      <c r="J523" s="532"/>
      <c r="K523" s="532"/>
      <c r="L523" s="532"/>
      <c r="M523" s="532"/>
      <c r="N523" s="532"/>
      <c r="O523" s="522"/>
      <c r="P523" s="522"/>
      <c r="Q523" s="522"/>
      <c r="R523" s="522"/>
      <c r="S523" s="522"/>
      <c r="T523" s="522"/>
      <c r="U523" s="522"/>
      <c r="Y523" s="523"/>
    </row>
    <row r="524" spans="1:25" x14ac:dyDescent="0.2">
      <c r="A524" s="519"/>
      <c r="B524" s="519"/>
      <c r="C524" s="519"/>
      <c r="D524" s="519"/>
      <c r="E524" s="519"/>
      <c r="F524" s="530"/>
      <c r="G524" s="530"/>
      <c r="H524" s="530"/>
      <c r="I524" s="531"/>
      <c r="J524" s="532"/>
      <c r="K524" s="532"/>
      <c r="L524" s="532"/>
      <c r="M524" s="532"/>
      <c r="N524" s="532"/>
      <c r="O524" s="522"/>
      <c r="P524" s="522"/>
      <c r="Q524" s="522"/>
      <c r="R524" s="522"/>
      <c r="S524" s="522"/>
      <c r="T524" s="522"/>
      <c r="U524" s="522"/>
      <c r="Y524" s="523"/>
    </row>
    <row r="525" spans="1:25" x14ac:dyDescent="0.2">
      <c r="A525" s="519"/>
      <c r="B525" s="519"/>
      <c r="C525" s="519"/>
      <c r="D525" s="519"/>
      <c r="E525" s="519"/>
      <c r="F525" s="530"/>
      <c r="G525" s="530"/>
      <c r="H525" s="530"/>
      <c r="I525" s="531"/>
      <c r="J525" s="532"/>
      <c r="K525" s="532"/>
      <c r="L525" s="532"/>
      <c r="M525" s="532"/>
      <c r="N525" s="532"/>
      <c r="O525" s="522"/>
      <c r="P525" s="522"/>
      <c r="Q525" s="522"/>
      <c r="R525" s="522"/>
      <c r="S525" s="522"/>
      <c r="T525" s="522"/>
      <c r="U525" s="522"/>
      <c r="Y525" s="523"/>
    </row>
    <row r="526" spans="1:25" x14ac:dyDescent="0.2">
      <c r="A526" s="519"/>
      <c r="B526" s="519"/>
      <c r="C526" s="519"/>
      <c r="D526" s="519"/>
      <c r="E526" s="519"/>
      <c r="F526" s="530"/>
      <c r="G526" s="530"/>
      <c r="H526" s="530"/>
      <c r="I526" s="531"/>
      <c r="J526" s="532"/>
      <c r="K526" s="532"/>
      <c r="L526" s="532"/>
      <c r="M526" s="532"/>
      <c r="N526" s="532"/>
      <c r="O526" s="522"/>
      <c r="P526" s="522"/>
      <c r="Q526" s="522"/>
      <c r="R526" s="522"/>
      <c r="S526" s="522"/>
      <c r="T526" s="522"/>
      <c r="U526" s="522"/>
      <c r="Y526" s="523"/>
    </row>
    <row r="527" spans="1:25" x14ac:dyDescent="0.2">
      <c r="A527" s="519"/>
      <c r="B527" s="519"/>
      <c r="C527" s="519"/>
      <c r="D527" s="519"/>
      <c r="E527" s="519"/>
      <c r="F527" s="530"/>
      <c r="G527" s="530"/>
      <c r="H527" s="530"/>
      <c r="I527" s="531"/>
      <c r="J527" s="532"/>
      <c r="K527" s="532"/>
      <c r="L527" s="532"/>
      <c r="M527" s="532"/>
      <c r="N527" s="532"/>
      <c r="O527" s="522"/>
      <c r="P527" s="522"/>
      <c r="Q527" s="522"/>
      <c r="R527" s="522"/>
      <c r="S527" s="522"/>
      <c r="T527" s="522"/>
      <c r="U527" s="522"/>
      <c r="Y527" s="523"/>
    </row>
    <row r="528" spans="1:25" x14ac:dyDescent="0.2">
      <c r="A528" s="519"/>
      <c r="B528" s="519"/>
      <c r="C528" s="519"/>
      <c r="D528" s="519"/>
      <c r="E528" s="519"/>
      <c r="F528" s="530"/>
      <c r="G528" s="530"/>
      <c r="H528" s="530"/>
      <c r="I528" s="531"/>
      <c r="J528" s="532"/>
      <c r="K528" s="532"/>
      <c r="L528" s="532"/>
      <c r="M528" s="532"/>
      <c r="N528" s="532"/>
      <c r="O528" s="522"/>
      <c r="P528" s="522"/>
      <c r="Q528" s="522"/>
      <c r="R528" s="522"/>
      <c r="S528" s="522"/>
      <c r="T528" s="522"/>
      <c r="U528" s="522"/>
      <c r="Y528" s="523"/>
    </row>
    <row r="529" spans="1:25" x14ac:dyDescent="0.2">
      <c r="A529" s="519"/>
      <c r="B529" s="519"/>
      <c r="C529" s="519"/>
      <c r="D529" s="519"/>
      <c r="E529" s="519"/>
      <c r="F529" s="530"/>
      <c r="G529" s="530"/>
      <c r="H529" s="530"/>
      <c r="I529" s="531"/>
      <c r="J529" s="532"/>
      <c r="K529" s="532"/>
      <c r="L529" s="532"/>
      <c r="M529" s="532"/>
      <c r="N529" s="532"/>
      <c r="O529" s="522"/>
      <c r="P529" s="522"/>
      <c r="Q529" s="522"/>
      <c r="R529" s="522"/>
      <c r="S529" s="522"/>
      <c r="T529" s="522"/>
      <c r="U529" s="522"/>
      <c r="Y529" s="523"/>
    </row>
    <row r="530" spans="1:25" x14ac:dyDescent="0.2">
      <c r="A530" s="519"/>
      <c r="B530" s="519"/>
      <c r="C530" s="519"/>
      <c r="D530" s="519"/>
      <c r="E530" s="519"/>
      <c r="F530" s="530"/>
      <c r="G530" s="530"/>
      <c r="H530" s="530"/>
      <c r="I530" s="531"/>
      <c r="J530" s="532"/>
      <c r="K530" s="532"/>
      <c r="L530" s="532"/>
      <c r="M530" s="532"/>
      <c r="N530" s="532"/>
      <c r="O530" s="522"/>
      <c r="P530" s="522"/>
      <c r="Q530" s="522"/>
      <c r="R530" s="522"/>
      <c r="S530" s="522"/>
      <c r="T530" s="522"/>
      <c r="U530" s="522"/>
      <c r="Y530" s="523"/>
    </row>
    <row r="531" spans="1:25" x14ac:dyDescent="0.2">
      <c r="A531" s="519"/>
      <c r="B531" s="519"/>
      <c r="C531" s="519"/>
      <c r="D531" s="519"/>
      <c r="E531" s="519"/>
      <c r="F531" s="530"/>
      <c r="G531" s="530"/>
      <c r="H531" s="530"/>
      <c r="I531" s="531"/>
      <c r="J531" s="532"/>
      <c r="K531" s="532"/>
      <c r="L531" s="532"/>
      <c r="M531" s="532"/>
      <c r="N531" s="532"/>
      <c r="O531" s="522"/>
      <c r="P531" s="522"/>
      <c r="Q531" s="522"/>
      <c r="R531" s="522"/>
      <c r="S531" s="522"/>
      <c r="T531" s="522"/>
      <c r="U531" s="522"/>
      <c r="Y531" s="523"/>
    </row>
    <row r="532" spans="1:25" x14ac:dyDescent="0.2">
      <c r="A532" s="519"/>
      <c r="B532" s="519"/>
      <c r="C532" s="519"/>
      <c r="D532" s="519"/>
      <c r="E532" s="519"/>
      <c r="F532" s="530"/>
      <c r="G532" s="530"/>
      <c r="H532" s="530"/>
      <c r="I532" s="531"/>
      <c r="J532" s="532"/>
      <c r="K532" s="532"/>
      <c r="L532" s="532"/>
      <c r="M532" s="532"/>
      <c r="N532" s="532"/>
      <c r="O532" s="522"/>
      <c r="P532" s="522"/>
      <c r="Q532" s="522"/>
      <c r="R532" s="522"/>
      <c r="S532" s="522"/>
      <c r="T532" s="522"/>
      <c r="U532" s="522"/>
      <c r="Y532" s="523"/>
    </row>
    <row r="533" spans="1:25" x14ac:dyDescent="0.2">
      <c r="A533" s="519"/>
      <c r="B533" s="519"/>
      <c r="C533" s="519"/>
      <c r="D533" s="519"/>
      <c r="E533" s="519"/>
      <c r="F533" s="530"/>
      <c r="G533" s="530"/>
      <c r="H533" s="530"/>
      <c r="I533" s="531"/>
      <c r="J533" s="532"/>
      <c r="K533" s="532"/>
      <c r="L533" s="532"/>
      <c r="M533" s="532"/>
      <c r="N533" s="532"/>
      <c r="O533" s="522"/>
      <c r="P533" s="522"/>
      <c r="Q533" s="522"/>
      <c r="R533" s="522"/>
      <c r="S533" s="522"/>
      <c r="T533" s="522"/>
      <c r="U533" s="522"/>
      <c r="Y533" s="523"/>
    </row>
    <row r="534" spans="1:25" x14ac:dyDescent="0.2">
      <c r="A534" s="519"/>
      <c r="B534" s="519"/>
      <c r="C534" s="519"/>
      <c r="D534" s="519"/>
      <c r="E534" s="519"/>
      <c r="F534" s="530"/>
      <c r="G534" s="530"/>
      <c r="H534" s="530"/>
      <c r="I534" s="531"/>
      <c r="J534" s="532"/>
      <c r="K534" s="532"/>
      <c r="L534" s="532"/>
      <c r="M534" s="532"/>
      <c r="N534" s="532"/>
      <c r="O534" s="522"/>
      <c r="P534" s="522"/>
      <c r="Q534" s="522"/>
      <c r="R534" s="522"/>
      <c r="S534" s="522"/>
      <c r="T534" s="522"/>
      <c r="U534" s="522"/>
      <c r="Y534" s="523"/>
    </row>
    <row r="535" spans="1:25" x14ac:dyDescent="0.2">
      <c r="A535" s="519"/>
      <c r="B535" s="519"/>
      <c r="C535" s="519"/>
      <c r="D535" s="519"/>
      <c r="E535" s="519"/>
      <c r="F535" s="530"/>
      <c r="G535" s="530"/>
      <c r="H535" s="530"/>
      <c r="I535" s="531"/>
      <c r="J535" s="532"/>
      <c r="K535" s="532"/>
      <c r="L535" s="532"/>
      <c r="M535" s="532"/>
      <c r="N535" s="532"/>
      <c r="O535" s="522"/>
      <c r="P535" s="522"/>
      <c r="Q535" s="522"/>
      <c r="R535" s="522"/>
      <c r="S535" s="522"/>
      <c r="T535" s="522"/>
      <c r="U535" s="522"/>
      <c r="Y535" s="523"/>
    </row>
    <row r="536" spans="1:25" x14ac:dyDescent="0.2">
      <c r="A536" s="519"/>
      <c r="B536" s="519"/>
      <c r="C536" s="519"/>
      <c r="D536" s="519"/>
      <c r="E536" s="519"/>
      <c r="F536" s="530"/>
      <c r="G536" s="530"/>
      <c r="H536" s="530"/>
      <c r="I536" s="531"/>
      <c r="J536" s="532"/>
      <c r="K536" s="532"/>
      <c r="L536" s="532"/>
      <c r="M536" s="532"/>
      <c r="N536" s="532"/>
      <c r="O536" s="522"/>
      <c r="P536" s="522"/>
      <c r="Q536" s="522"/>
      <c r="R536" s="522"/>
      <c r="S536" s="522"/>
      <c r="T536" s="522"/>
      <c r="U536" s="522"/>
      <c r="Y536" s="523"/>
    </row>
    <row r="537" spans="1:25" x14ac:dyDescent="0.2">
      <c r="A537" s="519"/>
      <c r="B537" s="519"/>
      <c r="C537" s="519"/>
      <c r="D537" s="519"/>
      <c r="E537" s="519"/>
      <c r="F537" s="530"/>
      <c r="G537" s="530"/>
      <c r="H537" s="530"/>
      <c r="I537" s="531"/>
      <c r="J537" s="532"/>
      <c r="K537" s="532"/>
      <c r="L537" s="532"/>
      <c r="M537" s="532"/>
      <c r="N537" s="532"/>
      <c r="O537" s="522"/>
      <c r="P537" s="522"/>
      <c r="Q537" s="522"/>
      <c r="R537" s="522"/>
      <c r="S537" s="522"/>
      <c r="T537" s="522"/>
      <c r="U537" s="522"/>
      <c r="Y537" s="523"/>
    </row>
    <row r="538" spans="1:25" x14ac:dyDescent="0.2">
      <c r="A538" s="519"/>
      <c r="B538" s="519"/>
      <c r="C538" s="519"/>
      <c r="D538" s="519"/>
      <c r="E538" s="519"/>
      <c r="F538" s="530"/>
      <c r="G538" s="530"/>
      <c r="H538" s="530"/>
      <c r="I538" s="531"/>
      <c r="J538" s="532"/>
      <c r="K538" s="532"/>
      <c r="L538" s="532"/>
      <c r="M538" s="532"/>
      <c r="N538" s="532"/>
      <c r="O538" s="522"/>
      <c r="P538" s="522"/>
      <c r="Q538" s="522"/>
      <c r="R538" s="522"/>
      <c r="S538" s="522"/>
      <c r="T538" s="522"/>
      <c r="U538" s="522"/>
      <c r="Y538" s="523"/>
    </row>
    <row r="539" spans="1:25" x14ac:dyDescent="0.2">
      <c r="A539" s="519"/>
      <c r="B539" s="519"/>
      <c r="C539" s="519"/>
      <c r="D539" s="519"/>
      <c r="E539" s="519"/>
      <c r="F539" s="530"/>
      <c r="G539" s="530"/>
      <c r="H539" s="530"/>
      <c r="I539" s="531"/>
      <c r="J539" s="532"/>
      <c r="K539" s="532"/>
      <c r="L539" s="532"/>
      <c r="M539" s="532"/>
      <c r="N539" s="532"/>
      <c r="O539" s="522"/>
      <c r="P539" s="522"/>
      <c r="Q539" s="522"/>
      <c r="R539" s="522"/>
      <c r="S539" s="522"/>
      <c r="T539" s="522"/>
      <c r="U539" s="522"/>
      <c r="Y539" s="523"/>
    </row>
    <row r="540" spans="1:25" x14ac:dyDescent="0.2">
      <c r="A540" s="519"/>
      <c r="B540" s="519"/>
      <c r="C540" s="519"/>
      <c r="D540" s="519"/>
      <c r="E540" s="519"/>
      <c r="F540" s="530"/>
      <c r="G540" s="530"/>
      <c r="H540" s="530"/>
      <c r="I540" s="531"/>
      <c r="J540" s="532"/>
      <c r="K540" s="532"/>
      <c r="L540" s="532"/>
      <c r="M540" s="532"/>
      <c r="N540" s="532"/>
      <c r="O540" s="522"/>
      <c r="P540" s="522"/>
      <c r="Q540" s="522"/>
      <c r="R540" s="522"/>
      <c r="S540" s="522"/>
      <c r="T540" s="522"/>
      <c r="U540" s="522"/>
      <c r="Y540" s="523"/>
    </row>
    <row r="541" spans="1:25" x14ac:dyDescent="0.2">
      <c r="A541" s="519"/>
      <c r="B541" s="519"/>
      <c r="C541" s="519"/>
      <c r="D541" s="519"/>
      <c r="E541" s="519"/>
      <c r="F541" s="530"/>
      <c r="G541" s="530"/>
      <c r="H541" s="530"/>
      <c r="I541" s="531"/>
      <c r="J541" s="532"/>
      <c r="K541" s="532"/>
      <c r="L541" s="532"/>
      <c r="M541" s="532"/>
      <c r="N541" s="532"/>
      <c r="O541" s="522"/>
      <c r="P541" s="522"/>
      <c r="Q541" s="522"/>
      <c r="R541" s="522"/>
      <c r="S541" s="522"/>
      <c r="T541" s="522"/>
      <c r="U541" s="522"/>
      <c r="Y541" s="523"/>
    </row>
    <row r="542" spans="1:25" x14ac:dyDescent="0.2">
      <c r="A542" s="519"/>
      <c r="B542" s="519"/>
      <c r="C542" s="519"/>
      <c r="D542" s="519"/>
      <c r="E542" s="519"/>
      <c r="F542" s="530"/>
      <c r="G542" s="530"/>
      <c r="H542" s="530"/>
      <c r="I542" s="531"/>
      <c r="J542" s="532"/>
      <c r="K542" s="532"/>
      <c r="L542" s="532"/>
      <c r="M542" s="532"/>
      <c r="N542" s="532"/>
      <c r="O542" s="522"/>
      <c r="P542" s="522"/>
      <c r="Q542" s="522"/>
      <c r="R542" s="522"/>
      <c r="S542" s="522"/>
      <c r="T542" s="522"/>
      <c r="U542" s="522"/>
      <c r="Y542" s="523"/>
    </row>
    <row r="543" spans="1:25" x14ac:dyDescent="0.2">
      <c r="A543" s="519"/>
      <c r="B543" s="519"/>
      <c r="C543" s="519"/>
      <c r="D543" s="519"/>
      <c r="E543" s="519"/>
      <c r="F543" s="530"/>
      <c r="G543" s="530"/>
      <c r="H543" s="530"/>
      <c r="I543" s="531"/>
      <c r="J543" s="532"/>
      <c r="K543" s="532"/>
      <c r="L543" s="532"/>
      <c r="M543" s="532"/>
      <c r="N543" s="532"/>
      <c r="O543" s="522"/>
      <c r="P543" s="522"/>
      <c r="Q543" s="522"/>
      <c r="R543" s="522"/>
      <c r="S543" s="522"/>
      <c r="T543" s="522"/>
      <c r="U543" s="522"/>
      <c r="Y543" s="523"/>
    </row>
    <row r="544" spans="1:25" x14ac:dyDescent="0.2">
      <c r="A544" s="519"/>
      <c r="B544" s="519"/>
      <c r="C544" s="519"/>
      <c r="D544" s="519"/>
      <c r="E544" s="519"/>
      <c r="F544" s="530"/>
      <c r="G544" s="530"/>
      <c r="H544" s="530"/>
      <c r="I544" s="531"/>
      <c r="J544" s="532"/>
      <c r="K544" s="532"/>
      <c r="L544" s="532"/>
      <c r="M544" s="532"/>
      <c r="N544" s="532"/>
      <c r="O544" s="522"/>
      <c r="P544" s="522"/>
      <c r="Q544" s="522"/>
      <c r="R544" s="522"/>
      <c r="S544" s="522"/>
      <c r="T544" s="522"/>
      <c r="U544" s="522"/>
      <c r="Y544" s="523"/>
    </row>
    <row r="545" spans="1:25" x14ac:dyDescent="0.2">
      <c r="A545" s="519"/>
      <c r="B545" s="519"/>
      <c r="C545" s="519"/>
      <c r="D545" s="519"/>
      <c r="E545" s="519"/>
      <c r="F545" s="530"/>
      <c r="G545" s="530"/>
      <c r="H545" s="530"/>
      <c r="I545" s="531"/>
      <c r="J545" s="532"/>
      <c r="K545" s="532"/>
      <c r="L545" s="532"/>
      <c r="M545" s="532"/>
      <c r="N545" s="532"/>
      <c r="O545" s="522"/>
      <c r="P545" s="522"/>
      <c r="Q545" s="522"/>
      <c r="R545" s="522"/>
      <c r="S545" s="522"/>
      <c r="T545" s="522"/>
      <c r="U545" s="522"/>
      <c r="Y545" s="523"/>
    </row>
    <row r="546" spans="1:25" x14ac:dyDescent="0.2">
      <c r="A546" s="519"/>
      <c r="B546" s="519"/>
      <c r="C546" s="519"/>
      <c r="D546" s="519"/>
      <c r="E546" s="519"/>
      <c r="F546" s="530"/>
      <c r="G546" s="530"/>
      <c r="H546" s="530"/>
      <c r="I546" s="531"/>
      <c r="J546" s="532"/>
      <c r="K546" s="532"/>
      <c r="L546" s="532"/>
      <c r="M546" s="532"/>
      <c r="N546" s="532"/>
      <c r="O546" s="522"/>
      <c r="P546" s="522"/>
      <c r="Q546" s="522"/>
      <c r="R546" s="522"/>
      <c r="S546" s="522"/>
      <c r="T546" s="522"/>
      <c r="U546" s="522"/>
      <c r="Y546" s="523"/>
    </row>
    <row r="547" spans="1:25" x14ac:dyDescent="0.2">
      <c r="A547" s="519"/>
      <c r="B547" s="519"/>
      <c r="C547" s="519"/>
      <c r="D547" s="519"/>
      <c r="E547" s="519"/>
      <c r="F547" s="530"/>
      <c r="G547" s="530"/>
      <c r="H547" s="530"/>
      <c r="I547" s="531"/>
      <c r="J547" s="532"/>
      <c r="K547" s="532"/>
      <c r="L547" s="532"/>
      <c r="M547" s="532"/>
      <c r="N547" s="532"/>
      <c r="O547" s="522"/>
      <c r="P547" s="522"/>
      <c r="Q547" s="522"/>
      <c r="R547" s="522"/>
      <c r="S547" s="522"/>
      <c r="T547" s="522"/>
      <c r="U547" s="522"/>
      <c r="Y547" s="523"/>
    </row>
    <row r="548" spans="1:25" x14ac:dyDescent="0.2">
      <c r="A548" s="519"/>
      <c r="B548" s="519"/>
      <c r="C548" s="519"/>
      <c r="D548" s="519"/>
      <c r="E548" s="519"/>
      <c r="F548" s="530"/>
      <c r="G548" s="530"/>
      <c r="H548" s="530"/>
      <c r="I548" s="531"/>
      <c r="J548" s="532"/>
      <c r="K548" s="532"/>
      <c r="L548" s="532"/>
      <c r="M548" s="532"/>
      <c r="N548" s="532"/>
      <c r="O548" s="522"/>
      <c r="P548" s="522"/>
      <c r="Q548" s="522"/>
      <c r="R548" s="522"/>
      <c r="S548" s="522"/>
      <c r="T548" s="522"/>
      <c r="U548" s="522"/>
      <c r="Y548" s="523"/>
    </row>
    <row r="549" spans="1:25" x14ac:dyDescent="0.2">
      <c r="A549" s="519"/>
      <c r="B549" s="519"/>
      <c r="C549" s="519"/>
      <c r="D549" s="519"/>
      <c r="E549" s="519"/>
      <c r="F549" s="530"/>
      <c r="G549" s="530"/>
      <c r="H549" s="530"/>
      <c r="I549" s="531"/>
      <c r="J549" s="532"/>
      <c r="K549" s="532"/>
      <c r="L549" s="532"/>
      <c r="M549" s="532"/>
      <c r="N549" s="532"/>
      <c r="O549" s="522"/>
      <c r="P549" s="522"/>
      <c r="Q549" s="522"/>
      <c r="R549" s="522"/>
      <c r="S549" s="522"/>
      <c r="T549" s="522"/>
      <c r="U549" s="522"/>
      <c r="Y549" s="523"/>
    </row>
    <row r="550" spans="1:25" x14ac:dyDescent="0.2">
      <c r="A550" s="519"/>
      <c r="B550" s="519"/>
      <c r="C550" s="519"/>
      <c r="D550" s="519"/>
      <c r="E550" s="519"/>
      <c r="F550" s="530"/>
      <c r="G550" s="530"/>
      <c r="H550" s="530"/>
      <c r="I550" s="531"/>
      <c r="J550" s="532"/>
      <c r="K550" s="532"/>
      <c r="L550" s="532"/>
      <c r="M550" s="532"/>
      <c r="N550" s="532"/>
      <c r="O550" s="522"/>
      <c r="P550" s="522"/>
      <c r="Q550" s="522"/>
      <c r="R550" s="522"/>
      <c r="S550" s="522"/>
      <c r="T550" s="522"/>
      <c r="U550" s="522"/>
      <c r="Y550" s="523"/>
    </row>
    <row r="551" spans="1:25" x14ac:dyDescent="0.2">
      <c r="A551" s="519"/>
      <c r="B551" s="519"/>
      <c r="C551" s="519"/>
      <c r="D551" s="519"/>
      <c r="E551" s="519"/>
      <c r="F551" s="530"/>
      <c r="G551" s="530"/>
      <c r="H551" s="530"/>
      <c r="I551" s="531"/>
      <c r="J551" s="532"/>
      <c r="K551" s="532"/>
      <c r="L551" s="532"/>
      <c r="M551" s="532"/>
      <c r="N551" s="532"/>
      <c r="O551" s="522"/>
      <c r="P551" s="522"/>
      <c r="Q551" s="522"/>
      <c r="R551" s="522"/>
      <c r="S551" s="522"/>
      <c r="T551" s="522"/>
      <c r="U551" s="522"/>
      <c r="Y551" s="523"/>
    </row>
    <row r="552" spans="1:25" x14ac:dyDescent="0.2">
      <c r="A552" s="519"/>
      <c r="B552" s="519"/>
      <c r="C552" s="519"/>
      <c r="D552" s="519"/>
      <c r="E552" s="519"/>
      <c r="F552" s="530"/>
      <c r="G552" s="530"/>
      <c r="H552" s="530"/>
      <c r="I552" s="531"/>
      <c r="J552" s="532"/>
      <c r="K552" s="532"/>
      <c r="L552" s="532"/>
      <c r="M552" s="532"/>
      <c r="N552" s="532"/>
      <c r="O552" s="522"/>
      <c r="P552" s="522"/>
      <c r="Q552" s="522"/>
      <c r="R552" s="522"/>
      <c r="S552" s="522"/>
      <c r="T552" s="522"/>
      <c r="U552" s="522"/>
      <c r="Y552" s="523"/>
    </row>
    <row r="553" spans="1:25" x14ac:dyDescent="0.2">
      <c r="A553" s="519"/>
      <c r="B553" s="519"/>
      <c r="C553" s="519"/>
      <c r="D553" s="519"/>
      <c r="E553" s="519"/>
      <c r="F553" s="530"/>
      <c r="G553" s="530"/>
      <c r="H553" s="530"/>
      <c r="I553" s="531"/>
      <c r="J553" s="532"/>
      <c r="K553" s="532"/>
      <c r="L553" s="532"/>
      <c r="M553" s="532"/>
      <c r="N553" s="532"/>
      <c r="O553" s="522"/>
      <c r="P553" s="522"/>
      <c r="Q553" s="522"/>
      <c r="R553" s="522"/>
      <c r="S553" s="522"/>
      <c r="T553" s="522"/>
      <c r="U553" s="522"/>
      <c r="Y553" s="523"/>
    </row>
    <row r="554" spans="1:25" x14ac:dyDescent="0.2">
      <c r="A554" s="519"/>
      <c r="B554" s="519"/>
      <c r="C554" s="519"/>
      <c r="D554" s="519"/>
      <c r="E554" s="519"/>
      <c r="F554" s="530"/>
      <c r="G554" s="530"/>
      <c r="H554" s="530"/>
      <c r="I554" s="531"/>
      <c r="J554" s="532"/>
      <c r="K554" s="532"/>
      <c r="L554" s="532"/>
      <c r="M554" s="532"/>
      <c r="N554" s="532"/>
      <c r="O554" s="522"/>
      <c r="P554" s="522"/>
      <c r="Q554" s="522"/>
      <c r="R554" s="522"/>
      <c r="S554" s="522"/>
      <c r="T554" s="522"/>
      <c r="U554" s="522"/>
      <c r="Y554" s="523"/>
    </row>
    <row r="555" spans="1:25" x14ac:dyDescent="0.2">
      <c r="A555" s="519"/>
      <c r="B555" s="519"/>
      <c r="C555" s="519"/>
      <c r="D555" s="519"/>
      <c r="E555" s="519"/>
      <c r="F555" s="530"/>
      <c r="G555" s="530"/>
      <c r="H555" s="530"/>
      <c r="I555" s="531"/>
      <c r="J555" s="532"/>
      <c r="K555" s="532"/>
      <c r="L555" s="532"/>
      <c r="M555" s="532"/>
      <c r="N555" s="532"/>
      <c r="O555" s="522"/>
      <c r="P555" s="522"/>
      <c r="Q555" s="522"/>
      <c r="R555" s="522"/>
      <c r="S555" s="522"/>
      <c r="T555" s="522"/>
      <c r="U555" s="522"/>
      <c r="Y555" s="523"/>
    </row>
    <row r="556" spans="1:25" x14ac:dyDescent="0.2">
      <c r="A556" s="519"/>
      <c r="B556" s="519"/>
      <c r="C556" s="519"/>
      <c r="D556" s="519"/>
      <c r="E556" s="519"/>
      <c r="F556" s="530"/>
      <c r="G556" s="530"/>
      <c r="H556" s="530"/>
      <c r="I556" s="531"/>
      <c r="J556" s="532"/>
      <c r="K556" s="532"/>
      <c r="L556" s="532"/>
      <c r="M556" s="532"/>
      <c r="N556" s="532"/>
      <c r="O556" s="522"/>
      <c r="P556" s="522"/>
      <c r="Q556" s="522"/>
      <c r="R556" s="522"/>
      <c r="S556" s="522"/>
      <c r="T556" s="522"/>
      <c r="U556" s="522"/>
      <c r="Y556" s="523"/>
    </row>
    <row r="557" spans="1:25" x14ac:dyDescent="0.2">
      <c r="A557" s="519"/>
      <c r="B557" s="519"/>
      <c r="C557" s="519"/>
      <c r="D557" s="519"/>
      <c r="E557" s="519"/>
      <c r="F557" s="530"/>
      <c r="G557" s="530"/>
      <c r="H557" s="530"/>
      <c r="I557" s="531"/>
      <c r="J557" s="532"/>
      <c r="K557" s="532"/>
      <c r="L557" s="532"/>
      <c r="M557" s="532"/>
      <c r="N557" s="532"/>
      <c r="O557" s="522"/>
      <c r="P557" s="522"/>
      <c r="Q557" s="522"/>
      <c r="R557" s="522"/>
      <c r="S557" s="522"/>
      <c r="T557" s="522"/>
      <c r="U557" s="522"/>
      <c r="Y557" s="523"/>
    </row>
    <row r="558" spans="1:25" x14ac:dyDescent="0.2">
      <c r="A558" s="519"/>
      <c r="B558" s="519"/>
      <c r="C558" s="519"/>
      <c r="D558" s="519"/>
      <c r="E558" s="519"/>
      <c r="F558" s="530"/>
      <c r="G558" s="530"/>
      <c r="H558" s="530"/>
      <c r="I558" s="531"/>
      <c r="J558" s="532"/>
      <c r="K558" s="532"/>
      <c r="L558" s="532"/>
      <c r="M558" s="532"/>
      <c r="N558" s="532"/>
      <c r="O558" s="522"/>
      <c r="P558" s="522"/>
      <c r="Q558" s="522"/>
      <c r="R558" s="522"/>
      <c r="S558" s="522"/>
      <c r="T558" s="522"/>
      <c r="U558" s="522"/>
      <c r="Y558" s="523"/>
    </row>
    <row r="559" spans="1:25" x14ac:dyDescent="0.2">
      <c r="A559" s="519"/>
      <c r="B559" s="519"/>
      <c r="C559" s="519"/>
      <c r="D559" s="519"/>
      <c r="E559" s="519"/>
      <c r="F559" s="530"/>
      <c r="G559" s="530"/>
      <c r="H559" s="530"/>
      <c r="I559" s="531"/>
      <c r="J559" s="532"/>
      <c r="K559" s="532"/>
      <c r="L559" s="532"/>
      <c r="M559" s="532"/>
      <c r="N559" s="532"/>
      <c r="O559" s="522"/>
      <c r="P559" s="522"/>
      <c r="Q559" s="522"/>
      <c r="R559" s="522"/>
      <c r="S559" s="522"/>
      <c r="T559" s="522"/>
      <c r="U559" s="522"/>
      <c r="Y559" s="523"/>
    </row>
    <row r="560" spans="1:25" x14ac:dyDescent="0.2">
      <c r="A560" s="519"/>
      <c r="B560" s="519"/>
      <c r="C560" s="519"/>
      <c r="D560" s="519"/>
      <c r="E560" s="519"/>
      <c r="F560" s="530"/>
      <c r="G560" s="530"/>
      <c r="H560" s="530"/>
      <c r="I560" s="531"/>
      <c r="J560" s="532"/>
      <c r="K560" s="532"/>
      <c r="L560" s="532"/>
      <c r="M560" s="532"/>
      <c r="N560" s="532"/>
      <c r="O560" s="522"/>
      <c r="P560" s="522"/>
      <c r="Q560" s="522"/>
      <c r="R560" s="522"/>
      <c r="S560" s="522"/>
      <c r="T560" s="522"/>
      <c r="U560" s="522"/>
      <c r="Y560" s="523"/>
    </row>
    <row r="561" spans="1:25" x14ac:dyDescent="0.2">
      <c r="A561" s="519"/>
      <c r="B561" s="519"/>
      <c r="C561" s="519"/>
      <c r="D561" s="519"/>
      <c r="E561" s="519"/>
      <c r="F561" s="530"/>
      <c r="G561" s="530"/>
      <c r="H561" s="530"/>
      <c r="I561" s="531"/>
      <c r="J561" s="532"/>
      <c r="K561" s="532"/>
      <c r="L561" s="532"/>
      <c r="M561" s="532"/>
      <c r="N561" s="532"/>
      <c r="O561" s="522"/>
      <c r="P561" s="522"/>
      <c r="Q561" s="522"/>
      <c r="R561" s="522"/>
      <c r="S561" s="522"/>
      <c r="T561" s="522"/>
      <c r="U561" s="522"/>
      <c r="Y561" s="523"/>
    </row>
    <row r="562" spans="1:25" x14ac:dyDescent="0.2">
      <c r="A562" s="519"/>
      <c r="B562" s="519"/>
      <c r="C562" s="519"/>
      <c r="D562" s="519"/>
      <c r="E562" s="519"/>
      <c r="F562" s="530"/>
      <c r="G562" s="530"/>
      <c r="H562" s="530"/>
      <c r="I562" s="531"/>
      <c r="J562" s="532"/>
      <c r="K562" s="532"/>
      <c r="L562" s="532"/>
      <c r="M562" s="532"/>
      <c r="N562" s="532"/>
      <c r="O562" s="522"/>
      <c r="P562" s="522"/>
      <c r="Q562" s="522"/>
      <c r="R562" s="522"/>
      <c r="S562" s="522"/>
      <c r="T562" s="522"/>
      <c r="U562" s="522"/>
      <c r="Y562" s="523"/>
    </row>
    <row r="563" spans="1:25" x14ac:dyDescent="0.2">
      <c r="A563" s="519"/>
      <c r="B563" s="519"/>
      <c r="C563" s="519"/>
      <c r="D563" s="519"/>
      <c r="E563" s="519"/>
      <c r="F563" s="530"/>
      <c r="G563" s="530"/>
      <c r="H563" s="530"/>
      <c r="I563" s="531"/>
      <c r="J563" s="532"/>
      <c r="K563" s="532"/>
      <c r="L563" s="532"/>
      <c r="M563" s="532"/>
      <c r="N563" s="532"/>
      <c r="O563" s="522"/>
      <c r="P563" s="522"/>
      <c r="Q563" s="522"/>
      <c r="R563" s="522"/>
      <c r="S563" s="522"/>
      <c r="T563" s="522"/>
      <c r="U563" s="522"/>
      <c r="Y563" s="523"/>
    </row>
    <row r="564" spans="1:25" x14ac:dyDescent="0.2">
      <c r="A564" s="519"/>
      <c r="B564" s="519"/>
      <c r="C564" s="519"/>
      <c r="D564" s="519"/>
      <c r="E564" s="519"/>
      <c r="F564" s="530"/>
      <c r="G564" s="530"/>
      <c r="H564" s="530"/>
      <c r="I564" s="531"/>
      <c r="J564" s="532"/>
      <c r="K564" s="532"/>
      <c r="L564" s="532"/>
      <c r="M564" s="532"/>
      <c r="N564" s="532"/>
      <c r="O564" s="522"/>
      <c r="P564" s="522"/>
      <c r="Q564" s="522"/>
      <c r="R564" s="522"/>
      <c r="S564" s="522"/>
      <c r="T564" s="522"/>
      <c r="U564" s="522"/>
      <c r="Y564" s="523"/>
    </row>
    <row r="565" spans="1:25" x14ac:dyDescent="0.2">
      <c r="A565" s="519"/>
      <c r="B565" s="519"/>
      <c r="C565" s="519"/>
      <c r="D565" s="519"/>
      <c r="E565" s="519"/>
      <c r="F565" s="530"/>
      <c r="G565" s="530"/>
      <c r="H565" s="530"/>
      <c r="I565" s="531"/>
      <c r="J565" s="532"/>
      <c r="K565" s="532"/>
      <c r="L565" s="532"/>
      <c r="M565" s="532"/>
      <c r="N565" s="532"/>
      <c r="O565" s="522"/>
      <c r="P565" s="522"/>
      <c r="Q565" s="522"/>
      <c r="R565" s="522"/>
      <c r="S565" s="522"/>
      <c r="T565" s="522"/>
      <c r="U565" s="522"/>
      <c r="Y565" s="523"/>
    </row>
    <row r="566" spans="1:25" x14ac:dyDescent="0.2">
      <c r="A566" s="519"/>
      <c r="B566" s="519"/>
      <c r="C566" s="519"/>
      <c r="D566" s="519"/>
      <c r="E566" s="519"/>
      <c r="F566" s="530"/>
      <c r="G566" s="530"/>
      <c r="H566" s="530"/>
      <c r="I566" s="531"/>
      <c r="J566" s="532"/>
      <c r="K566" s="532"/>
      <c r="L566" s="532"/>
      <c r="M566" s="532"/>
      <c r="N566" s="532"/>
      <c r="O566" s="522"/>
      <c r="P566" s="522"/>
      <c r="Q566" s="522"/>
      <c r="R566" s="522"/>
      <c r="S566" s="522"/>
      <c r="T566" s="522"/>
      <c r="U566" s="522"/>
      <c r="Y566" s="523"/>
    </row>
    <row r="567" spans="1:25" x14ac:dyDescent="0.2">
      <c r="A567" s="519"/>
      <c r="B567" s="519"/>
      <c r="C567" s="519"/>
      <c r="D567" s="519"/>
      <c r="E567" s="519"/>
      <c r="F567" s="530"/>
      <c r="G567" s="530"/>
      <c r="H567" s="530"/>
      <c r="I567" s="531"/>
      <c r="J567" s="532"/>
      <c r="K567" s="532"/>
      <c r="L567" s="532"/>
      <c r="M567" s="532"/>
      <c r="N567" s="532"/>
      <c r="O567" s="522"/>
      <c r="P567" s="522"/>
      <c r="Q567" s="522"/>
      <c r="R567" s="522"/>
      <c r="S567" s="522"/>
      <c r="T567" s="522"/>
      <c r="U567" s="522"/>
      <c r="Y567" s="523"/>
    </row>
    <row r="568" spans="1:25" x14ac:dyDescent="0.2">
      <c r="A568" s="519"/>
      <c r="B568" s="519"/>
      <c r="C568" s="519"/>
      <c r="D568" s="519"/>
      <c r="E568" s="519"/>
      <c r="F568" s="530"/>
      <c r="G568" s="530"/>
      <c r="H568" s="530"/>
      <c r="I568" s="531"/>
      <c r="J568" s="532"/>
      <c r="K568" s="532"/>
      <c r="L568" s="532"/>
      <c r="M568" s="532"/>
      <c r="N568" s="532"/>
      <c r="O568" s="522"/>
      <c r="P568" s="522"/>
      <c r="Q568" s="522"/>
      <c r="R568" s="522"/>
      <c r="S568" s="522"/>
      <c r="T568" s="522"/>
      <c r="U568" s="522"/>
      <c r="Y568" s="523"/>
    </row>
    <row r="569" spans="1:25" x14ac:dyDescent="0.2">
      <c r="A569" s="519"/>
      <c r="B569" s="519"/>
      <c r="C569" s="519"/>
      <c r="D569" s="519"/>
      <c r="E569" s="519"/>
      <c r="F569" s="530"/>
      <c r="G569" s="530"/>
      <c r="H569" s="530"/>
      <c r="I569" s="531"/>
      <c r="J569" s="532"/>
      <c r="K569" s="532"/>
      <c r="L569" s="532"/>
      <c r="M569" s="532"/>
      <c r="N569" s="532"/>
      <c r="O569" s="522"/>
      <c r="P569" s="522"/>
      <c r="Q569" s="522"/>
      <c r="R569" s="522"/>
      <c r="S569" s="522"/>
      <c r="T569" s="522"/>
      <c r="U569" s="522"/>
      <c r="Y569" s="523"/>
    </row>
    <row r="570" spans="1:25" x14ac:dyDescent="0.2">
      <c r="A570" s="519"/>
      <c r="B570" s="519"/>
      <c r="C570" s="519"/>
      <c r="D570" s="519"/>
      <c r="E570" s="519"/>
      <c r="F570" s="530"/>
      <c r="G570" s="530"/>
      <c r="H570" s="530"/>
      <c r="I570" s="531"/>
      <c r="J570" s="532"/>
      <c r="K570" s="532"/>
      <c r="L570" s="532"/>
      <c r="M570" s="532"/>
      <c r="N570" s="532"/>
      <c r="O570" s="522"/>
      <c r="P570" s="522"/>
      <c r="Q570" s="522"/>
      <c r="R570" s="522"/>
      <c r="S570" s="522"/>
      <c r="T570" s="522"/>
      <c r="U570" s="522"/>
      <c r="Y570" s="523"/>
    </row>
    <row r="571" spans="1:25" x14ac:dyDescent="0.2">
      <c r="A571" s="519"/>
      <c r="B571" s="519"/>
      <c r="C571" s="519"/>
      <c r="D571" s="519"/>
      <c r="E571" s="519"/>
      <c r="F571" s="530"/>
      <c r="G571" s="530"/>
      <c r="H571" s="530"/>
      <c r="I571" s="531"/>
      <c r="J571" s="532"/>
      <c r="K571" s="532"/>
      <c r="L571" s="532"/>
      <c r="M571" s="532"/>
      <c r="N571" s="532"/>
      <c r="O571" s="522"/>
      <c r="P571" s="522"/>
      <c r="Q571" s="522"/>
      <c r="R571" s="522"/>
      <c r="S571" s="522"/>
      <c r="T571" s="522"/>
      <c r="U571" s="522"/>
      <c r="Y571" s="523"/>
    </row>
    <row r="572" spans="1:25" x14ac:dyDescent="0.2">
      <c r="A572" s="519"/>
      <c r="B572" s="519"/>
      <c r="C572" s="519"/>
      <c r="D572" s="519"/>
      <c r="E572" s="519"/>
      <c r="F572" s="530"/>
      <c r="G572" s="530"/>
      <c r="H572" s="530"/>
      <c r="I572" s="531"/>
      <c r="J572" s="532"/>
      <c r="K572" s="532"/>
      <c r="L572" s="532"/>
      <c r="M572" s="532"/>
      <c r="N572" s="532"/>
      <c r="O572" s="522"/>
      <c r="P572" s="522"/>
      <c r="Q572" s="522"/>
      <c r="R572" s="522"/>
      <c r="S572" s="522"/>
      <c r="T572" s="522"/>
      <c r="U572" s="522"/>
      <c r="Y572" s="523"/>
    </row>
    <row r="573" spans="1:25" x14ac:dyDescent="0.2">
      <c r="A573" s="519"/>
      <c r="B573" s="519"/>
      <c r="C573" s="519"/>
      <c r="D573" s="519"/>
      <c r="E573" s="519"/>
      <c r="F573" s="530"/>
      <c r="G573" s="530"/>
      <c r="H573" s="530"/>
      <c r="I573" s="531"/>
      <c r="J573" s="532"/>
      <c r="K573" s="532"/>
      <c r="L573" s="532"/>
      <c r="M573" s="532"/>
      <c r="N573" s="532"/>
      <c r="O573" s="522"/>
      <c r="P573" s="522"/>
      <c r="Q573" s="522"/>
      <c r="R573" s="522"/>
      <c r="S573" s="522"/>
      <c r="T573" s="522"/>
      <c r="U573" s="522"/>
      <c r="Y573" s="523"/>
    </row>
    <row r="574" spans="1:25" x14ac:dyDescent="0.2">
      <c r="A574" s="519"/>
      <c r="B574" s="519"/>
      <c r="C574" s="519"/>
      <c r="D574" s="519"/>
      <c r="E574" s="519"/>
      <c r="F574" s="530"/>
      <c r="G574" s="530"/>
      <c r="H574" s="530"/>
      <c r="I574" s="531"/>
      <c r="J574" s="532"/>
      <c r="K574" s="532"/>
      <c r="L574" s="532"/>
      <c r="M574" s="532"/>
      <c r="N574" s="532"/>
      <c r="O574" s="522"/>
      <c r="P574" s="522"/>
      <c r="Q574" s="522"/>
      <c r="R574" s="522"/>
      <c r="S574" s="522"/>
      <c r="T574" s="522"/>
      <c r="U574" s="522"/>
      <c r="Y574" s="523"/>
    </row>
    <row r="575" spans="1:25" x14ac:dyDescent="0.2">
      <c r="A575" s="519"/>
      <c r="B575" s="519"/>
      <c r="C575" s="519"/>
      <c r="D575" s="519"/>
      <c r="E575" s="519"/>
      <c r="F575" s="530"/>
      <c r="G575" s="530"/>
      <c r="H575" s="530"/>
      <c r="I575" s="531"/>
      <c r="J575" s="532"/>
      <c r="K575" s="532"/>
      <c r="L575" s="532"/>
      <c r="M575" s="532"/>
      <c r="N575" s="532"/>
      <c r="O575" s="522"/>
      <c r="P575" s="522"/>
      <c r="Q575" s="522"/>
      <c r="R575" s="522"/>
      <c r="S575" s="522"/>
      <c r="T575" s="522"/>
      <c r="U575" s="522"/>
      <c r="Y575" s="523"/>
    </row>
    <row r="576" spans="1:25" x14ac:dyDescent="0.2">
      <c r="A576" s="519"/>
      <c r="B576" s="519"/>
      <c r="C576" s="519"/>
      <c r="D576" s="519"/>
      <c r="E576" s="519"/>
      <c r="F576" s="530"/>
      <c r="G576" s="530"/>
      <c r="H576" s="530"/>
      <c r="I576" s="531"/>
      <c r="J576" s="532"/>
      <c r="K576" s="532"/>
      <c r="L576" s="532"/>
      <c r="M576" s="532"/>
      <c r="N576" s="532"/>
      <c r="O576" s="522"/>
      <c r="P576" s="522"/>
      <c r="Q576" s="522"/>
      <c r="R576" s="522"/>
      <c r="S576" s="522"/>
      <c r="T576" s="522"/>
      <c r="U576" s="522"/>
      <c r="Y576" s="523"/>
    </row>
    <row r="577" spans="1:25" x14ac:dyDescent="0.2">
      <c r="A577" s="519"/>
      <c r="B577" s="519"/>
      <c r="C577" s="519"/>
      <c r="D577" s="519"/>
      <c r="E577" s="519"/>
      <c r="F577" s="530"/>
      <c r="G577" s="530"/>
      <c r="H577" s="530"/>
      <c r="I577" s="531"/>
      <c r="J577" s="532"/>
      <c r="K577" s="532"/>
      <c r="L577" s="532"/>
      <c r="M577" s="532"/>
      <c r="N577" s="532"/>
      <c r="O577" s="522"/>
      <c r="P577" s="522"/>
      <c r="Q577" s="522"/>
      <c r="R577" s="522"/>
      <c r="S577" s="522"/>
      <c r="T577" s="522"/>
      <c r="U577" s="522"/>
      <c r="Y577" s="523"/>
    </row>
    <row r="578" spans="1:25" x14ac:dyDescent="0.2">
      <c r="A578" s="519"/>
      <c r="B578" s="519"/>
      <c r="C578" s="519"/>
      <c r="D578" s="519"/>
      <c r="E578" s="519"/>
      <c r="F578" s="530"/>
      <c r="G578" s="530"/>
      <c r="H578" s="530"/>
      <c r="I578" s="531"/>
      <c r="J578" s="532"/>
      <c r="K578" s="532"/>
      <c r="L578" s="532"/>
      <c r="M578" s="532"/>
      <c r="N578" s="532"/>
      <c r="O578" s="522"/>
      <c r="P578" s="522"/>
      <c r="Q578" s="522"/>
      <c r="R578" s="522"/>
      <c r="S578" s="522"/>
      <c r="T578" s="522"/>
      <c r="U578" s="522"/>
      <c r="Y578" s="523"/>
    </row>
    <row r="579" spans="1:25" x14ac:dyDescent="0.2">
      <c r="A579" s="519"/>
      <c r="B579" s="519"/>
      <c r="C579" s="519"/>
      <c r="D579" s="519"/>
      <c r="E579" s="519"/>
      <c r="F579" s="530"/>
      <c r="G579" s="530"/>
      <c r="H579" s="530"/>
      <c r="I579" s="531"/>
      <c r="J579" s="532"/>
      <c r="K579" s="532"/>
      <c r="L579" s="532"/>
      <c r="M579" s="532"/>
      <c r="N579" s="532"/>
      <c r="O579" s="522"/>
      <c r="P579" s="522"/>
      <c r="Q579" s="522"/>
      <c r="R579" s="522"/>
      <c r="S579" s="522"/>
      <c r="T579" s="522"/>
      <c r="U579" s="522"/>
      <c r="Y579" s="523"/>
    </row>
    <row r="580" spans="1:25" x14ac:dyDescent="0.2">
      <c r="A580" s="519"/>
      <c r="B580" s="519"/>
      <c r="C580" s="519"/>
      <c r="D580" s="519"/>
      <c r="E580" s="519"/>
      <c r="F580" s="530"/>
      <c r="G580" s="530"/>
      <c r="H580" s="530"/>
      <c r="I580" s="531"/>
      <c r="J580" s="532"/>
      <c r="K580" s="532"/>
      <c r="L580" s="532"/>
      <c r="M580" s="532"/>
      <c r="N580" s="532"/>
      <c r="O580" s="522"/>
      <c r="P580" s="522"/>
      <c r="Q580" s="522"/>
      <c r="R580" s="522"/>
      <c r="S580" s="522"/>
      <c r="T580" s="522"/>
      <c r="U580" s="522"/>
      <c r="Y580" s="523"/>
    </row>
    <row r="581" spans="1:25" x14ac:dyDescent="0.2">
      <c r="A581" s="519"/>
      <c r="B581" s="519"/>
      <c r="C581" s="519"/>
      <c r="D581" s="519"/>
      <c r="E581" s="519"/>
      <c r="F581" s="530"/>
      <c r="G581" s="530"/>
      <c r="H581" s="530"/>
      <c r="I581" s="531"/>
      <c r="J581" s="532"/>
      <c r="K581" s="532"/>
      <c r="L581" s="532"/>
      <c r="M581" s="532"/>
      <c r="N581" s="532"/>
      <c r="O581" s="522"/>
      <c r="P581" s="522"/>
      <c r="Q581" s="522"/>
      <c r="R581" s="522"/>
      <c r="S581" s="522"/>
      <c r="T581" s="522"/>
      <c r="U581" s="522"/>
      <c r="Y581" s="523"/>
    </row>
    <row r="582" spans="1:25" x14ac:dyDescent="0.2">
      <c r="A582" s="519"/>
      <c r="B582" s="519"/>
      <c r="C582" s="519"/>
      <c r="D582" s="519"/>
      <c r="E582" s="519"/>
      <c r="F582" s="530"/>
      <c r="G582" s="530"/>
      <c r="H582" s="530"/>
      <c r="I582" s="531"/>
      <c r="J582" s="532"/>
      <c r="K582" s="532"/>
      <c r="L582" s="532"/>
      <c r="M582" s="532"/>
      <c r="N582" s="532"/>
      <c r="O582" s="522"/>
      <c r="P582" s="522"/>
      <c r="Q582" s="522"/>
      <c r="R582" s="522"/>
      <c r="S582" s="522"/>
      <c r="T582" s="522"/>
      <c r="U582" s="522"/>
      <c r="Y582" s="523"/>
    </row>
    <row r="583" spans="1:25" x14ac:dyDescent="0.2">
      <c r="A583" s="519"/>
      <c r="B583" s="519"/>
      <c r="C583" s="519"/>
      <c r="D583" s="519"/>
      <c r="E583" s="519"/>
      <c r="F583" s="530"/>
      <c r="G583" s="530"/>
      <c r="H583" s="530"/>
      <c r="I583" s="531"/>
      <c r="J583" s="532"/>
      <c r="K583" s="532"/>
      <c r="L583" s="532"/>
      <c r="M583" s="532"/>
      <c r="N583" s="532"/>
      <c r="O583" s="522"/>
      <c r="P583" s="522"/>
      <c r="Q583" s="522"/>
      <c r="R583" s="522"/>
      <c r="S583" s="522"/>
      <c r="T583" s="522"/>
      <c r="U583" s="522"/>
      <c r="Y583" s="523"/>
    </row>
    <row r="584" spans="1:25" x14ac:dyDescent="0.2">
      <c r="A584" s="519"/>
      <c r="B584" s="519"/>
      <c r="C584" s="519"/>
      <c r="D584" s="519"/>
      <c r="E584" s="519"/>
      <c r="F584" s="530"/>
      <c r="G584" s="530"/>
      <c r="H584" s="530"/>
      <c r="I584" s="531"/>
      <c r="J584" s="532"/>
      <c r="K584" s="532"/>
      <c r="L584" s="532"/>
      <c r="M584" s="532"/>
      <c r="N584" s="532"/>
      <c r="O584" s="522"/>
      <c r="P584" s="522"/>
      <c r="Q584" s="522"/>
      <c r="R584" s="522"/>
      <c r="S584" s="522"/>
      <c r="T584" s="522"/>
      <c r="U584" s="522"/>
      <c r="Y584" s="523"/>
    </row>
    <row r="585" spans="1:25" x14ac:dyDescent="0.2">
      <c r="A585" s="519"/>
      <c r="B585" s="519"/>
      <c r="C585" s="519"/>
      <c r="D585" s="519"/>
      <c r="E585" s="519"/>
      <c r="F585" s="530"/>
      <c r="G585" s="530"/>
      <c r="H585" s="530"/>
      <c r="I585" s="531"/>
      <c r="J585" s="532"/>
      <c r="K585" s="532"/>
      <c r="L585" s="532"/>
      <c r="M585" s="532"/>
      <c r="N585" s="532"/>
      <c r="O585" s="522"/>
      <c r="P585" s="522"/>
      <c r="Q585" s="522"/>
      <c r="R585" s="522"/>
      <c r="S585" s="522"/>
      <c r="T585" s="522"/>
      <c r="U585" s="522"/>
      <c r="Y585" s="523"/>
    </row>
    <row r="586" spans="1:25" x14ac:dyDescent="0.2">
      <c r="A586" s="519"/>
      <c r="B586" s="519"/>
      <c r="C586" s="519"/>
      <c r="D586" s="519"/>
      <c r="E586" s="519"/>
      <c r="F586" s="530"/>
      <c r="G586" s="530"/>
      <c r="H586" s="530"/>
      <c r="I586" s="531"/>
      <c r="J586" s="532"/>
      <c r="K586" s="532"/>
      <c r="L586" s="532"/>
      <c r="M586" s="532"/>
      <c r="N586" s="532"/>
      <c r="O586" s="522"/>
      <c r="P586" s="522"/>
      <c r="Q586" s="522"/>
      <c r="R586" s="522"/>
      <c r="S586" s="522"/>
      <c r="T586" s="522"/>
      <c r="U586" s="522"/>
      <c r="Y586" s="523"/>
    </row>
    <row r="587" spans="1:25" x14ac:dyDescent="0.2">
      <c r="A587" s="519"/>
      <c r="B587" s="519"/>
      <c r="C587" s="519"/>
      <c r="D587" s="519"/>
      <c r="E587" s="519"/>
      <c r="F587" s="530"/>
      <c r="G587" s="530"/>
      <c r="H587" s="530"/>
      <c r="I587" s="531"/>
      <c r="J587" s="532"/>
      <c r="K587" s="532"/>
      <c r="L587" s="532"/>
      <c r="M587" s="532"/>
      <c r="N587" s="532"/>
      <c r="O587" s="522"/>
      <c r="P587" s="522"/>
      <c r="Q587" s="522"/>
      <c r="R587" s="522"/>
      <c r="S587" s="522"/>
      <c r="T587" s="522"/>
      <c r="U587" s="522"/>
      <c r="Y587" s="523"/>
    </row>
    <row r="588" spans="1:25" x14ac:dyDescent="0.2">
      <c r="A588" s="519"/>
      <c r="B588" s="519"/>
      <c r="C588" s="519"/>
      <c r="D588" s="519"/>
      <c r="E588" s="519"/>
      <c r="F588" s="530"/>
      <c r="G588" s="530"/>
      <c r="H588" s="530"/>
      <c r="I588" s="531"/>
      <c r="J588" s="532"/>
      <c r="K588" s="532"/>
      <c r="L588" s="532"/>
      <c r="M588" s="532"/>
      <c r="N588" s="532"/>
      <c r="O588" s="522"/>
      <c r="P588" s="522"/>
      <c r="Q588" s="522"/>
      <c r="R588" s="522"/>
      <c r="S588" s="522"/>
      <c r="T588" s="522"/>
      <c r="U588" s="522"/>
      <c r="Y588" s="523"/>
    </row>
    <row r="589" spans="1:25" x14ac:dyDescent="0.2">
      <c r="A589" s="519"/>
      <c r="B589" s="519"/>
      <c r="C589" s="519"/>
      <c r="D589" s="519"/>
      <c r="E589" s="519"/>
      <c r="F589" s="530"/>
      <c r="G589" s="530"/>
      <c r="H589" s="530"/>
      <c r="I589" s="531"/>
      <c r="J589" s="532"/>
      <c r="K589" s="532"/>
      <c r="L589" s="532"/>
      <c r="M589" s="532"/>
      <c r="N589" s="532"/>
      <c r="O589" s="522"/>
      <c r="P589" s="522"/>
      <c r="Q589" s="522"/>
      <c r="R589" s="522"/>
      <c r="S589" s="522"/>
      <c r="T589" s="522"/>
      <c r="U589" s="522"/>
      <c r="Y589" s="523"/>
    </row>
    <row r="590" spans="1:25" x14ac:dyDescent="0.2">
      <c r="A590" s="519"/>
      <c r="B590" s="519"/>
      <c r="C590" s="519"/>
      <c r="D590" s="519"/>
      <c r="E590" s="519"/>
      <c r="F590" s="530"/>
      <c r="G590" s="530"/>
      <c r="H590" s="530"/>
      <c r="I590" s="531"/>
      <c r="J590" s="532"/>
      <c r="K590" s="532"/>
      <c r="L590" s="532"/>
      <c r="M590" s="532"/>
      <c r="N590" s="532"/>
      <c r="O590" s="522"/>
      <c r="P590" s="522"/>
      <c r="Q590" s="522"/>
      <c r="R590" s="522"/>
      <c r="S590" s="522"/>
      <c r="T590" s="522"/>
      <c r="U590" s="522"/>
      <c r="Y590" s="523"/>
    </row>
    <row r="591" spans="1:25" x14ac:dyDescent="0.2">
      <c r="A591" s="519"/>
      <c r="B591" s="519"/>
      <c r="C591" s="519"/>
      <c r="D591" s="519"/>
      <c r="E591" s="519"/>
      <c r="F591" s="530"/>
      <c r="G591" s="530"/>
      <c r="H591" s="530"/>
      <c r="I591" s="531"/>
      <c r="J591" s="532"/>
      <c r="K591" s="532"/>
      <c r="L591" s="532"/>
      <c r="M591" s="532"/>
      <c r="N591" s="532"/>
      <c r="O591" s="522"/>
      <c r="P591" s="522"/>
      <c r="Q591" s="522"/>
      <c r="R591" s="522"/>
      <c r="S591" s="522"/>
      <c r="T591" s="522"/>
      <c r="U591" s="522"/>
      <c r="Y591" s="523"/>
    </row>
    <row r="592" spans="1:25" x14ac:dyDescent="0.2">
      <c r="A592" s="519"/>
      <c r="B592" s="519"/>
      <c r="C592" s="519"/>
      <c r="D592" s="519"/>
      <c r="E592" s="519"/>
      <c r="F592" s="530"/>
      <c r="G592" s="530"/>
      <c r="H592" s="530"/>
      <c r="I592" s="531"/>
      <c r="J592" s="532"/>
      <c r="K592" s="532"/>
      <c r="L592" s="532"/>
      <c r="M592" s="532"/>
      <c r="N592" s="532"/>
      <c r="O592" s="522"/>
      <c r="P592" s="522"/>
      <c r="Q592" s="522"/>
      <c r="R592" s="522"/>
      <c r="S592" s="522"/>
      <c r="T592" s="522"/>
      <c r="U592" s="522"/>
      <c r="Y592" s="523"/>
    </row>
    <row r="593" spans="1:25" x14ac:dyDescent="0.2">
      <c r="A593" s="519"/>
      <c r="B593" s="519"/>
      <c r="C593" s="519"/>
      <c r="D593" s="519"/>
      <c r="E593" s="519"/>
      <c r="F593" s="530"/>
      <c r="G593" s="530"/>
      <c r="H593" s="530"/>
      <c r="I593" s="531"/>
      <c r="J593" s="532"/>
      <c r="K593" s="532"/>
      <c r="L593" s="532"/>
      <c r="M593" s="532"/>
      <c r="N593" s="532"/>
      <c r="O593" s="522"/>
      <c r="P593" s="522"/>
      <c r="Q593" s="522"/>
      <c r="R593" s="522"/>
      <c r="S593" s="522"/>
      <c r="T593" s="522"/>
      <c r="U593" s="522"/>
      <c r="Y593" s="523"/>
    </row>
    <row r="594" spans="1:25" x14ac:dyDescent="0.2">
      <c r="A594" s="519"/>
      <c r="B594" s="519"/>
      <c r="C594" s="519"/>
      <c r="D594" s="519"/>
      <c r="E594" s="519"/>
      <c r="F594" s="530"/>
      <c r="G594" s="530"/>
      <c r="H594" s="530"/>
      <c r="I594" s="531"/>
      <c r="J594" s="532"/>
      <c r="K594" s="532"/>
      <c r="L594" s="532"/>
      <c r="M594" s="532"/>
      <c r="N594" s="532"/>
      <c r="O594" s="522"/>
      <c r="P594" s="522"/>
      <c r="Q594" s="522"/>
      <c r="R594" s="522"/>
      <c r="S594" s="522"/>
      <c r="T594" s="522"/>
      <c r="U594" s="522"/>
      <c r="Y594" s="523"/>
    </row>
    <row r="595" spans="1:25" x14ac:dyDescent="0.2">
      <c r="A595" s="519"/>
      <c r="B595" s="519"/>
      <c r="C595" s="519"/>
      <c r="D595" s="519"/>
      <c r="E595" s="519"/>
      <c r="F595" s="530"/>
      <c r="G595" s="530"/>
      <c r="H595" s="530"/>
      <c r="I595" s="531"/>
      <c r="J595" s="532"/>
      <c r="K595" s="532"/>
      <c r="L595" s="532"/>
      <c r="M595" s="532"/>
      <c r="N595" s="532"/>
      <c r="O595" s="522"/>
      <c r="P595" s="522"/>
      <c r="Q595" s="522"/>
      <c r="R595" s="522"/>
      <c r="S595" s="522"/>
      <c r="T595" s="522"/>
      <c r="U595" s="522"/>
      <c r="Y595" s="523"/>
    </row>
    <row r="596" spans="1:25" x14ac:dyDescent="0.2">
      <c r="A596" s="519"/>
      <c r="B596" s="519"/>
      <c r="C596" s="519"/>
      <c r="D596" s="519"/>
      <c r="E596" s="519"/>
      <c r="F596" s="530"/>
      <c r="G596" s="530"/>
      <c r="H596" s="530"/>
      <c r="I596" s="531"/>
      <c r="J596" s="532"/>
      <c r="K596" s="532"/>
      <c r="L596" s="532"/>
      <c r="M596" s="532"/>
      <c r="N596" s="532"/>
      <c r="O596" s="522"/>
      <c r="P596" s="522"/>
      <c r="Q596" s="522"/>
      <c r="R596" s="522"/>
      <c r="S596" s="522"/>
      <c r="T596" s="522"/>
      <c r="U596" s="522"/>
      <c r="Y596" s="523"/>
    </row>
    <row r="597" spans="1:25" x14ac:dyDescent="0.2">
      <c r="A597" s="519"/>
      <c r="B597" s="519"/>
      <c r="C597" s="519"/>
      <c r="D597" s="519"/>
      <c r="E597" s="519"/>
      <c r="F597" s="530"/>
      <c r="G597" s="530"/>
      <c r="H597" s="530"/>
      <c r="I597" s="531"/>
      <c r="J597" s="532"/>
      <c r="K597" s="532"/>
      <c r="L597" s="532"/>
      <c r="M597" s="532"/>
      <c r="N597" s="532"/>
      <c r="O597" s="522"/>
      <c r="P597" s="522"/>
      <c r="Q597" s="522"/>
      <c r="R597" s="522"/>
      <c r="S597" s="522"/>
      <c r="T597" s="522"/>
      <c r="U597" s="522"/>
      <c r="Y597" s="523"/>
    </row>
    <row r="598" spans="1:25" x14ac:dyDescent="0.2">
      <c r="A598" s="519"/>
      <c r="B598" s="519"/>
      <c r="C598" s="519"/>
      <c r="D598" s="519"/>
      <c r="E598" s="519"/>
      <c r="F598" s="530"/>
      <c r="G598" s="530"/>
      <c r="H598" s="530"/>
      <c r="I598" s="531"/>
      <c r="J598" s="532"/>
      <c r="K598" s="532"/>
      <c r="L598" s="532"/>
      <c r="M598" s="532"/>
      <c r="N598" s="532"/>
      <c r="O598" s="522"/>
      <c r="P598" s="522"/>
      <c r="Q598" s="522"/>
      <c r="R598" s="522"/>
      <c r="S598" s="522"/>
      <c r="T598" s="522"/>
      <c r="U598" s="522"/>
      <c r="Y598" s="523"/>
    </row>
    <row r="599" spans="1:25" x14ac:dyDescent="0.2">
      <c r="A599" s="519"/>
      <c r="B599" s="519"/>
      <c r="C599" s="519"/>
      <c r="D599" s="519"/>
      <c r="E599" s="519"/>
      <c r="F599" s="530"/>
      <c r="G599" s="530"/>
      <c r="H599" s="530"/>
      <c r="I599" s="531"/>
      <c r="J599" s="532"/>
      <c r="K599" s="532"/>
      <c r="L599" s="532"/>
      <c r="M599" s="532"/>
      <c r="N599" s="532"/>
      <c r="O599" s="522"/>
      <c r="P599" s="522"/>
      <c r="Q599" s="522"/>
      <c r="R599" s="522"/>
      <c r="S599" s="522"/>
      <c r="T599" s="522"/>
      <c r="U599" s="522"/>
      <c r="Y599" s="523"/>
    </row>
    <row r="600" spans="1:25" x14ac:dyDescent="0.2">
      <c r="A600" s="519"/>
      <c r="B600" s="519"/>
      <c r="C600" s="519"/>
      <c r="D600" s="519"/>
      <c r="E600" s="519"/>
      <c r="F600" s="530"/>
      <c r="G600" s="530"/>
      <c r="H600" s="530"/>
      <c r="I600" s="531"/>
      <c r="J600" s="532"/>
      <c r="K600" s="532"/>
      <c r="L600" s="532"/>
      <c r="M600" s="532"/>
      <c r="N600" s="532"/>
      <c r="O600" s="522"/>
      <c r="P600" s="522"/>
      <c r="Q600" s="522"/>
      <c r="R600" s="522"/>
      <c r="S600" s="522"/>
      <c r="T600" s="522"/>
      <c r="U600" s="522"/>
      <c r="Y600" s="523"/>
    </row>
    <row r="601" spans="1:25" x14ac:dyDescent="0.2">
      <c r="A601" s="519"/>
      <c r="B601" s="519"/>
      <c r="C601" s="519"/>
      <c r="D601" s="519"/>
      <c r="E601" s="519"/>
      <c r="F601" s="530"/>
      <c r="G601" s="530"/>
      <c r="H601" s="530"/>
      <c r="I601" s="531"/>
      <c r="J601" s="532"/>
      <c r="K601" s="532"/>
      <c r="L601" s="532"/>
      <c r="M601" s="532"/>
      <c r="N601" s="532"/>
      <c r="O601" s="522"/>
      <c r="P601" s="522"/>
      <c r="Q601" s="522"/>
      <c r="R601" s="522"/>
      <c r="S601" s="522"/>
      <c r="T601" s="522"/>
      <c r="U601" s="522"/>
      <c r="Y601" s="523"/>
    </row>
    <row r="602" spans="1:25" x14ac:dyDescent="0.2">
      <c r="A602" s="519"/>
      <c r="B602" s="519"/>
      <c r="C602" s="519"/>
      <c r="D602" s="519"/>
      <c r="E602" s="519"/>
      <c r="F602" s="530"/>
      <c r="G602" s="530"/>
      <c r="H602" s="530"/>
      <c r="I602" s="531"/>
      <c r="J602" s="532"/>
      <c r="K602" s="532"/>
      <c r="L602" s="532"/>
      <c r="M602" s="532"/>
      <c r="N602" s="532"/>
      <c r="O602" s="522"/>
      <c r="P602" s="522"/>
      <c r="Q602" s="522"/>
      <c r="R602" s="522"/>
      <c r="S602" s="522"/>
      <c r="T602" s="522"/>
      <c r="U602" s="522"/>
      <c r="Y602" s="523"/>
    </row>
    <row r="603" spans="1:25" x14ac:dyDescent="0.2">
      <c r="A603" s="519"/>
      <c r="B603" s="519"/>
      <c r="C603" s="519"/>
      <c r="D603" s="519"/>
      <c r="E603" s="519"/>
      <c r="F603" s="530"/>
      <c r="G603" s="530"/>
      <c r="H603" s="530"/>
      <c r="I603" s="531"/>
      <c r="J603" s="532"/>
      <c r="K603" s="532"/>
      <c r="L603" s="532"/>
      <c r="M603" s="532"/>
      <c r="N603" s="532"/>
      <c r="O603" s="522"/>
      <c r="P603" s="522"/>
      <c r="Q603" s="522"/>
      <c r="R603" s="522"/>
      <c r="S603" s="522"/>
      <c r="T603" s="522"/>
      <c r="U603" s="522"/>
      <c r="Y603" s="523"/>
    </row>
    <row r="604" spans="1:25" x14ac:dyDescent="0.2">
      <c r="A604" s="519"/>
      <c r="B604" s="519"/>
      <c r="C604" s="519"/>
      <c r="D604" s="519"/>
      <c r="E604" s="519"/>
      <c r="F604" s="530"/>
      <c r="G604" s="530"/>
      <c r="H604" s="530"/>
      <c r="I604" s="531"/>
      <c r="J604" s="532"/>
      <c r="K604" s="532"/>
      <c r="L604" s="532"/>
      <c r="M604" s="532"/>
      <c r="N604" s="532"/>
      <c r="O604" s="522"/>
      <c r="P604" s="522"/>
      <c r="Q604" s="522"/>
      <c r="R604" s="522"/>
      <c r="S604" s="522"/>
      <c r="T604" s="522"/>
      <c r="U604" s="522"/>
      <c r="Y604" s="523"/>
    </row>
    <row r="605" spans="1:25" x14ac:dyDescent="0.2">
      <c r="A605" s="519"/>
      <c r="B605" s="519"/>
      <c r="C605" s="519"/>
      <c r="D605" s="519"/>
      <c r="E605" s="519"/>
      <c r="F605" s="530"/>
      <c r="G605" s="530"/>
      <c r="H605" s="530"/>
      <c r="I605" s="531"/>
      <c r="J605" s="532"/>
      <c r="K605" s="532"/>
      <c r="L605" s="532"/>
      <c r="M605" s="532"/>
      <c r="N605" s="532"/>
      <c r="O605" s="522"/>
      <c r="P605" s="522"/>
      <c r="Q605" s="522"/>
      <c r="R605" s="522"/>
      <c r="S605" s="522"/>
      <c r="T605" s="522"/>
      <c r="U605" s="522"/>
      <c r="Y605" s="523"/>
    </row>
    <row r="606" spans="1:25" x14ac:dyDescent="0.2">
      <c r="A606" s="519"/>
      <c r="B606" s="519"/>
      <c r="C606" s="519"/>
      <c r="D606" s="519"/>
      <c r="E606" s="519"/>
      <c r="F606" s="530"/>
      <c r="G606" s="530"/>
      <c r="H606" s="530"/>
      <c r="I606" s="531"/>
      <c r="J606" s="532"/>
      <c r="K606" s="532"/>
      <c r="L606" s="532"/>
      <c r="M606" s="532"/>
      <c r="N606" s="532"/>
      <c r="O606" s="522"/>
      <c r="P606" s="522"/>
      <c r="Q606" s="522"/>
      <c r="R606" s="522"/>
      <c r="S606" s="522"/>
      <c r="T606" s="522"/>
      <c r="U606" s="522"/>
      <c r="Y606" s="523"/>
    </row>
    <row r="607" spans="1:25" x14ac:dyDescent="0.2">
      <c r="A607" s="519"/>
      <c r="B607" s="519"/>
      <c r="C607" s="519"/>
      <c r="D607" s="519"/>
      <c r="E607" s="519"/>
      <c r="F607" s="530"/>
      <c r="G607" s="530"/>
      <c r="H607" s="530"/>
      <c r="I607" s="531"/>
      <c r="J607" s="532"/>
      <c r="K607" s="532"/>
      <c r="L607" s="532"/>
      <c r="M607" s="532"/>
      <c r="N607" s="532"/>
      <c r="O607" s="522"/>
      <c r="P607" s="522"/>
      <c r="Q607" s="522"/>
      <c r="R607" s="522"/>
      <c r="S607" s="522"/>
      <c r="T607" s="522"/>
      <c r="U607" s="522"/>
      <c r="Y607" s="523"/>
    </row>
    <row r="608" spans="1:25" x14ac:dyDescent="0.2">
      <c r="A608" s="519"/>
      <c r="B608" s="519"/>
      <c r="C608" s="519"/>
      <c r="D608" s="519"/>
      <c r="E608" s="519"/>
      <c r="F608" s="530"/>
      <c r="G608" s="530"/>
      <c r="H608" s="530"/>
      <c r="I608" s="531"/>
      <c r="J608" s="532"/>
      <c r="K608" s="532"/>
      <c r="L608" s="532"/>
      <c r="M608" s="532"/>
      <c r="N608" s="532"/>
      <c r="O608" s="522"/>
      <c r="P608" s="522"/>
      <c r="Q608" s="522"/>
      <c r="R608" s="522"/>
      <c r="S608" s="522"/>
      <c r="T608" s="522"/>
      <c r="U608" s="522"/>
      <c r="Y608" s="523"/>
    </row>
    <row r="609" spans="1:25" x14ac:dyDescent="0.2">
      <c r="A609" s="519"/>
      <c r="B609" s="519"/>
      <c r="C609" s="519"/>
      <c r="D609" s="519"/>
      <c r="E609" s="519"/>
      <c r="F609" s="530"/>
      <c r="G609" s="530"/>
      <c r="H609" s="530"/>
      <c r="I609" s="531"/>
      <c r="J609" s="532"/>
      <c r="K609" s="532"/>
      <c r="L609" s="532"/>
      <c r="M609" s="532"/>
      <c r="N609" s="532"/>
      <c r="O609" s="522"/>
      <c r="P609" s="522"/>
      <c r="Q609" s="522"/>
      <c r="R609" s="522"/>
      <c r="S609" s="522"/>
      <c r="T609" s="522"/>
      <c r="U609" s="522"/>
      <c r="Y609" s="523"/>
    </row>
    <row r="610" spans="1:25" x14ac:dyDescent="0.2">
      <c r="A610" s="519"/>
      <c r="B610" s="519"/>
      <c r="C610" s="519"/>
      <c r="D610" s="519"/>
      <c r="E610" s="519"/>
      <c r="F610" s="530"/>
      <c r="G610" s="530"/>
      <c r="H610" s="530"/>
      <c r="I610" s="531"/>
      <c r="J610" s="532"/>
      <c r="K610" s="532"/>
      <c r="L610" s="532"/>
      <c r="M610" s="532"/>
      <c r="N610" s="532"/>
      <c r="O610" s="522"/>
      <c r="P610" s="522"/>
      <c r="Q610" s="522"/>
      <c r="R610" s="522"/>
      <c r="S610" s="522"/>
      <c r="T610" s="522"/>
      <c r="U610" s="522"/>
      <c r="Y610" s="523"/>
    </row>
    <row r="611" spans="1:25" x14ac:dyDescent="0.2">
      <c r="A611" s="519"/>
      <c r="B611" s="519"/>
      <c r="C611" s="519"/>
      <c r="D611" s="519"/>
      <c r="E611" s="519"/>
      <c r="F611" s="530"/>
      <c r="G611" s="530"/>
      <c r="H611" s="530"/>
      <c r="I611" s="531"/>
      <c r="J611" s="532"/>
      <c r="K611" s="532"/>
      <c r="L611" s="532"/>
      <c r="M611" s="532"/>
      <c r="N611" s="532"/>
      <c r="O611" s="522"/>
      <c r="P611" s="522"/>
      <c r="Q611" s="522"/>
      <c r="R611" s="522"/>
      <c r="S611" s="522"/>
      <c r="T611" s="522"/>
      <c r="U611" s="522"/>
      <c r="Y611" s="523"/>
    </row>
    <row r="612" spans="1:25" x14ac:dyDescent="0.2">
      <c r="A612" s="519"/>
      <c r="B612" s="519"/>
      <c r="C612" s="519"/>
      <c r="D612" s="519"/>
      <c r="E612" s="519"/>
      <c r="F612" s="530"/>
      <c r="G612" s="530"/>
      <c r="H612" s="530"/>
      <c r="I612" s="531"/>
      <c r="J612" s="532"/>
      <c r="K612" s="532"/>
      <c r="L612" s="532"/>
      <c r="M612" s="532"/>
      <c r="N612" s="532"/>
      <c r="O612" s="522"/>
      <c r="P612" s="522"/>
      <c r="Q612" s="522"/>
      <c r="R612" s="522"/>
      <c r="S612" s="522"/>
      <c r="T612" s="522"/>
      <c r="U612" s="522"/>
      <c r="Y612" s="523"/>
    </row>
    <row r="613" spans="1:25" x14ac:dyDescent="0.2">
      <c r="A613" s="519"/>
      <c r="B613" s="519"/>
      <c r="C613" s="519"/>
      <c r="D613" s="519"/>
      <c r="E613" s="519"/>
      <c r="F613" s="530"/>
      <c r="G613" s="530"/>
      <c r="H613" s="530"/>
      <c r="I613" s="531"/>
      <c r="J613" s="532"/>
      <c r="K613" s="532"/>
      <c r="L613" s="532"/>
      <c r="M613" s="532"/>
      <c r="N613" s="532"/>
      <c r="O613" s="522"/>
      <c r="P613" s="522"/>
      <c r="Q613" s="522"/>
      <c r="R613" s="522"/>
      <c r="S613" s="522"/>
      <c r="T613" s="522"/>
      <c r="U613" s="522"/>
      <c r="Y613" s="523"/>
    </row>
    <row r="614" spans="1:25" x14ac:dyDescent="0.2">
      <c r="A614" s="519"/>
      <c r="B614" s="519"/>
      <c r="C614" s="519"/>
      <c r="D614" s="519"/>
      <c r="E614" s="519"/>
      <c r="F614" s="530"/>
      <c r="G614" s="530"/>
      <c r="H614" s="530"/>
      <c r="I614" s="531"/>
      <c r="J614" s="532"/>
      <c r="K614" s="532"/>
      <c r="L614" s="532"/>
      <c r="M614" s="532"/>
      <c r="N614" s="532"/>
      <c r="O614" s="522"/>
      <c r="P614" s="522"/>
      <c r="Q614" s="522"/>
      <c r="R614" s="522"/>
      <c r="S614" s="522"/>
      <c r="T614" s="522"/>
      <c r="U614" s="522"/>
      <c r="Y614" s="523"/>
    </row>
    <row r="615" spans="1:25" x14ac:dyDescent="0.2">
      <c r="A615" s="519"/>
      <c r="B615" s="519"/>
      <c r="C615" s="519"/>
      <c r="D615" s="519"/>
      <c r="E615" s="519"/>
      <c r="F615" s="530"/>
      <c r="G615" s="530"/>
      <c r="H615" s="530"/>
      <c r="I615" s="531"/>
      <c r="J615" s="532"/>
      <c r="K615" s="532"/>
      <c r="L615" s="532"/>
      <c r="M615" s="532"/>
      <c r="N615" s="532"/>
      <c r="O615" s="522"/>
      <c r="P615" s="522"/>
      <c r="Q615" s="522"/>
      <c r="R615" s="522"/>
      <c r="S615" s="522"/>
      <c r="T615" s="522"/>
      <c r="U615" s="522"/>
      <c r="Y615" s="523"/>
    </row>
    <row r="616" spans="1:25" x14ac:dyDescent="0.2">
      <c r="A616" s="519"/>
      <c r="B616" s="519"/>
      <c r="C616" s="519"/>
      <c r="D616" s="519"/>
      <c r="E616" s="519"/>
      <c r="F616" s="530"/>
      <c r="G616" s="530"/>
      <c r="H616" s="530"/>
      <c r="I616" s="531"/>
      <c r="J616" s="532"/>
      <c r="K616" s="532"/>
      <c r="L616" s="532"/>
      <c r="M616" s="532"/>
      <c r="N616" s="532"/>
      <c r="O616" s="522"/>
      <c r="P616" s="522"/>
      <c r="Q616" s="522"/>
      <c r="R616" s="522"/>
      <c r="S616" s="522"/>
      <c r="T616" s="522"/>
      <c r="U616" s="522"/>
      <c r="Y616" s="523"/>
    </row>
    <row r="617" spans="1:25" x14ac:dyDescent="0.2">
      <c r="A617" s="519"/>
      <c r="B617" s="519"/>
      <c r="C617" s="519"/>
      <c r="D617" s="519"/>
      <c r="E617" s="519"/>
      <c r="F617" s="530"/>
      <c r="G617" s="530"/>
      <c r="H617" s="530"/>
      <c r="I617" s="531"/>
      <c r="J617" s="532"/>
      <c r="K617" s="532"/>
      <c r="L617" s="532"/>
      <c r="M617" s="532"/>
      <c r="N617" s="532"/>
      <c r="O617" s="522"/>
      <c r="P617" s="522"/>
      <c r="Q617" s="522"/>
      <c r="R617" s="522"/>
      <c r="S617" s="522"/>
      <c r="T617" s="522"/>
      <c r="U617" s="522"/>
      <c r="Y617" s="523"/>
    </row>
    <row r="618" spans="1:25" x14ac:dyDescent="0.2">
      <c r="A618" s="519"/>
      <c r="B618" s="519"/>
      <c r="C618" s="519"/>
      <c r="D618" s="519"/>
      <c r="E618" s="519"/>
      <c r="F618" s="530"/>
      <c r="G618" s="530"/>
      <c r="H618" s="530"/>
      <c r="I618" s="531"/>
      <c r="J618" s="532"/>
      <c r="K618" s="532"/>
      <c r="L618" s="532"/>
      <c r="M618" s="532"/>
      <c r="N618" s="532"/>
      <c r="O618" s="522"/>
      <c r="P618" s="522"/>
      <c r="Q618" s="522"/>
      <c r="R618" s="522"/>
      <c r="S618" s="522"/>
      <c r="T618" s="522"/>
      <c r="U618" s="522"/>
      <c r="Y618" s="523"/>
    </row>
    <row r="619" spans="1:25" x14ac:dyDescent="0.2">
      <c r="A619" s="519"/>
      <c r="B619" s="519"/>
      <c r="C619" s="519"/>
      <c r="D619" s="519"/>
      <c r="E619" s="519"/>
      <c r="F619" s="530"/>
      <c r="G619" s="530"/>
      <c r="H619" s="530"/>
      <c r="I619" s="531"/>
      <c r="J619" s="532"/>
      <c r="K619" s="532"/>
      <c r="L619" s="532"/>
      <c r="M619" s="532"/>
      <c r="N619" s="532"/>
      <c r="O619" s="522"/>
      <c r="P619" s="522"/>
      <c r="Q619" s="522"/>
      <c r="R619" s="522"/>
      <c r="S619" s="522"/>
      <c r="T619" s="522"/>
      <c r="U619" s="522"/>
      <c r="Y619" s="523"/>
    </row>
    <row r="620" spans="1:25" x14ac:dyDescent="0.2">
      <c r="A620" s="519"/>
      <c r="B620" s="519"/>
      <c r="C620" s="519"/>
      <c r="D620" s="519"/>
      <c r="E620" s="519"/>
      <c r="F620" s="530"/>
      <c r="G620" s="530"/>
      <c r="H620" s="530"/>
      <c r="I620" s="531"/>
      <c r="J620" s="532"/>
      <c r="K620" s="532"/>
      <c r="L620" s="532"/>
      <c r="M620" s="532"/>
      <c r="N620" s="532"/>
      <c r="O620" s="522"/>
      <c r="P620" s="522"/>
      <c r="Q620" s="522"/>
      <c r="R620" s="522"/>
      <c r="S620" s="522"/>
      <c r="T620" s="522"/>
      <c r="U620" s="522"/>
      <c r="Y620" s="523"/>
    </row>
    <row r="621" spans="1:25" x14ac:dyDescent="0.2">
      <c r="A621" s="519"/>
      <c r="B621" s="519"/>
      <c r="C621" s="519"/>
      <c r="D621" s="519"/>
      <c r="E621" s="519"/>
      <c r="F621" s="530"/>
      <c r="G621" s="530"/>
      <c r="H621" s="530"/>
      <c r="I621" s="531"/>
      <c r="J621" s="532"/>
      <c r="K621" s="532"/>
      <c r="L621" s="532"/>
      <c r="M621" s="532"/>
      <c r="N621" s="532"/>
      <c r="O621" s="522"/>
      <c r="P621" s="522"/>
      <c r="Q621" s="522"/>
      <c r="R621" s="522"/>
      <c r="S621" s="522"/>
      <c r="T621" s="522"/>
      <c r="U621" s="522"/>
      <c r="Y621" s="523"/>
    </row>
    <row r="622" spans="1:25" x14ac:dyDescent="0.2">
      <c r="A622" s="519"/>
      <c r="B622" s="519"/>
      <c r="C622" s="519"/>
      <c r="D622" s="519"/>
      <c r="E622" s="519"/>
      <c r="F622" s="530"/>
      <c r="G622" s="530"/>
      <c r="H622" s="530"/>
      <c r="I622" s="531"/>
      <c r="J622" s="532"/>
      <c r="K622" s="532"/>
      <c r="L622" s="532"/>
      <c r="M622" s="532"/>
      <c r="N622" s="532"/>
      <c r="O622" s="522"/>
      <c r="P622" s="522"/>
      <c r="Q622" s="522"/>
      <c r="R622" s="522"/>
      <c r="S622" s="522"/>
      <c r="T622" s="522"/>
      <c r="U622" s="522"/>
      <c r="Y622" s="523"/>
    </row>
    <row r="623" spans="1:25" x14ac:dyDescent="0.2">
      <c r="A623" s="519"/>
      <c r="B623" s="519"/>
      <c r="C623" s="519"/>
      <c r="D623" s="519"/>
      <c r="E623" s="519"/>
      <c r="F623" s="530"/>
      <c r="G623" s="530"/>
      <c r="H623" s="530"/>
      <c r="I623" s="531"/>
      <c r="J623" s="532"/>
      <c r="K623" s="532"/>
      <c r="L623" s="532"/>
      <c r="M623" s="532"/>
      <c r="N623" s="532"/>
      <c r="O623" s="522"/>
      <c r="P623" s="522"/>
      <c r="Q623" s="522"/>
      <c r="R623" s="522"/>
      <c r="S623" s="522"/>
      <c r="T623" s="522"/>
      <c r="U623" s="522"/>
      <c r="Y623" s="523"/>
    </row>
    <row r="624" spans="1:25" x14ac:dyDescent="0.2">
      <c r="A624" s="519"/>
      <c r="B624" s="519"/>
      <c r="C624" s="519"/>
      <c r="D624" s="519"/>
      <c r="E624" s="519"/>
      <c r="F624" s="530"/>
      <c r="G624" s="530"/>
      <c r="H624" s="530"/>
      <c r="I624" s="531"/>
      <c r="J624" s="532"/>
      <c r="K624" s="532"/>
      <c r="L624" s="532"/>
      <c r="M624" s="532"/>
      <c r="N624" s="532"/>
      <c r="O624" s="522"/>
      <c r="P624" s="522"/>
      <c r="Q624" s="522"/>
      <c r="R624" s="522"/>
      <c r="S624" s="522"/>
      <c r="T624" s="522"/>
      <c r="U624" s="522"/>
      <c r="Y624" s="523"/>
    </row>
    <row r="625" spans="1:25" x14ac:dyDescent="0.2">
      <c r="A625" s="519"/>
      <c r="B625" s="519"/>
      <c r="C625" s="519"/>
      <c r="D625" s="519"/>
      <c r="E625" s="519"/>
      <c r="F625" s="530"/>
      <c r="G625" s="530"/>
      <c r="H625" s="530"/>
      <c r="I625" s="531"/>
      <c r="J625" s="532"/>
      <c r="K625" s="532"/>
      <c r="L625" s="532"/>
      <c r="M625" s="532"/>
      <c r="N625" s="532"/>
      <c r="O625" s="522"/>
      <c r="P625" s="522"/>
      <c r="Q625" s="522"/>
      <c r="R625" s="522"/>
      <c r="S625" s="522"/>
      <c r="T625" s="522"/>
      <c r="U625" s="522"/>
      <c r="Y625" s="523"/>
    </row>
    <row r="626" spans="1:25" x14ac:dyDescent="0.2">
      <c r="A626" s="519"/>
      <c r="B626" s="519"/>
      <c r="C626" s="519"/>
      <c r="D626" s="519"/>
      <c r="E626" s="519"/>
      <c r="F626" s="530"/>
      <c r="G626" s="530"/>
      <c r="H626" s="530"/>
      <c r="I626" s="531"/>
      <c r="J626" s="532"/>
      <c r="K626" s="532"/>
      <c r="L626" s="532"/>
      <c r="M626" s="532"/>
      <c r="N626" s="532"/>
      <c r="O626" s="522"/>
      <c r="P626" s="522"/>
      <c r="Q626" s="522"/>
      <c r="R626" s="522"/>
      <c r="S626" s="522"/>
      <c r="T626" s="522"/>
      <c r="U626" s="522"/>
      <c r="Y626" s="523"/>
    </row>
    <row r="627" spans="1:25" x14ac:dyDescent="0.2">
      <c r="A627" s="519"/>
      <c r="B627" s="519"/>
      <c r="C627" s="519"/>
      <c r="D627" s="519"/>
      <c r="E627" s="519"/>
      <c r="F627" s="530"/>
      <c r="G627" s="530"/>
      <c r="H627" s="530"/>
      <c r="I627" s="531"/>
      <c r="J627" s="532"/>
      <c r="K627" s="532"/>
      <c r="L627" s="532"/>
      <c r="M627" s="532"/>
      <c r="N627" s="532"/>
      <c r="O627" s="522"/>
      <c r="P627" s="522"/>
      <c r="Q627" s="522"/>
      <c r="R627" s="522"/>
      <c r="S627" s="522"/>
      <c r="T627" s="522"/>
      <c r="U627" s="522"/>
      <c r="Y627" s="523"/>
    </row>
    <row r="628" spans="1:25" x14ac:dyDescent="0.2">
      <c r="A628" s="519"/>
      <c r="B628" s="519"/>
      <c r="C628" s="519"/>
      <c r="D628" s="519"/>
      <c r="E628" s="519"/>
      <c r="F628" s="530"/>
      <c r="G628" s="530"/>
      <c r="H628" s="530"/>
      <c r="I628" s="531"/>
      <c r="J628" s="532"/>
      <c r="K628" s="532"/>
      <c r="L628" s="532"/>
      <c r="M628" s="532"/>
      <c r="N628" s="532"/>
      <c r="O628" s="522"/>
      <c r="P628" s="522"/>
      <c r="Q628" s="522"/>
      <c r="R628" s="522"/>
      <c r="S628" s="522"/>
      <c r="T628" s="522"/>
      <c r="U628" s="522"/>
      <c r="Y628" s="523"/>
    </row>
    <row r="629" spans="1:25" x14ac:dyDescent="0.2">
      <c r="A629" s="519"/>
      <c r="B629" s="519"/>
      <c r="C629" s="519"/>
      <c r="D629" s="519"/>
      <c r="E629" s="519"/>
      <c r="F629" s="530"/>
      <c r="G629" s="530"/>
      <c r="H629" s="530"/>
      <c r="I629" s="531"/>
      <c r="J629" s="532"/>
      <c r="K629" s="532"/>
      <c r="L629" s="532"/>
      <c r="M629" s="532"/>
      <c r="N629" s="532"/>
      <c r="O629" s="522"/>
      <c r="P629" s="522"/>
      <c r="Q629" s="522"/>
      <c r="R629" s="522"/>
      <c r="S629" s="522"/>
      <c r="T629" s="522"/>
      <c r="U629" s="522"/>
      <c r="Y629" s="523"/>
    </row>
    <row r="630" spans="1:25" x14ac:dyDescent="0.2">
      <c r="A630" s="519"/>
      <c r="B630" s="519"/>
      <c r="C630" s="519"/>
      <c r="D630" s="519"/>
      <c r="E630" s="519"/>
      <c r="F630" s="530"/>
      <c r="G630" s="530"/>
      <c r="H630" s="530"/>
      <c r="I630" s="531"/>
      <c r="J630" s="532"/>
      <c r="K630" s="532"/>
      <c r="L630" s="532"/>
      <c r="M630" s="532"/>
      <c r="N630" s="532"/>
      <c r="O630" s="522"/>
      <c r="P630" s="522"/>
      <c r="Q630" s="522"/>
      <c r="R630" s="522"/>
      <c r="S630" s="522"/>
      <c r="T630" s="522"/>
      <c r="U630" s="522"/>
      <c r="Y630" s="523"/>
    </row>
    <row r="631" spans="1:25" x14ac:dyDescent="0.2">
      <c r="A631" s="519"/>
      <c r="B631" s="519"/>
      <c r="C631" s="519"/>
      <c r="D631" s="519"/>
      <c r="E631" s="519"/>
      <c r="F631" s="530"/>
      <c r="G631" s="530"/>
      <c r="H631" s="530"/>
      <c r="I631" s="531"/>
      <c r="J631" s="532"/>
      <c r="K631" s="532"/>
      <c r="L631" s="532"/>
      <c r="M631" s="532"/>
      <c r="N631" s="532"/>
      <c r="O631" s="522"/>
      <c r="P631" s="522"/>
      <c r="Q631" s="522"/>
      <c r="R631" s="522"/>
      <c r="S631" s="522"/>
      <c r="T631" s="522"/>
      <c r="U631" s="522"/>
      <c r="Y631" s="523"/>
    </row>
    <row r="632" spans="1:25" x14ac:dyDescent="0.2">
      <c r="A632" s="519"/>
      <c r="B632" s="519"/>
      <c r="C632" s="519"/>
      <c r="D632" s="519"/>
      <c r="E632" s="519"/>
      <c r="F632" s="530"/>
      <c r="G632" s="530"/>
      <c r="H632" s="530"/>
      <c r="I632" s="531"/>
      <c r="J632" s="532"/>
      <c r="K632" s="532"/>
      <c r="L632" s="532"/>
      <c r="M632" s="532"/>
      <c r="N632" s="532"/>
      <c r="O632" s="522"/>
      <c r="P632" s="522"/>
      <c r="Q632" s="522"/>
      <c r="R632" s="522"/>
      <c r="S632" s="522"/>
      <c r="T632" s="522"/>
      <c r="U632" s="522"/>
      <c r="Y632" s="523"/>
    </row>
    <row r="633" spans="1:25" x14ac:dyDescent="0.2">
      <c r="A633" s="519"/>
      <c r="B633" s="519"/>
      <c r="C633" s="519"/>
      <c r="D633" s="519"/>
      <c r="E633" s="519"/>
      <c r="F633" s="530"/>
      <c r="G633" s="530"/>
      <c r="H633" s="530"/>
      <c r="I633" s="531"/>
      <c r="J633" s="532"/>
      <c r="K633" s="532"/>
      <c r="L633" s="532"/>
      <c r="M633" s="532"/>
      <c r="N633" s="532"/>
      <c r="O633" s="522"/>
      <c r="P633" s="522"/>
      <c r="Q633" s="522"/>
      <c r="R633" s="522"/>
      <c r="S633" s="522"/>
      <c r="T633" s="522"/>
      <c r="U633" s="522"/>
      <c r="Y633" s="523"/>
    </row>
    <row r="634" spans="1:25" x14ac:dyDescent="0.2">
      <c r="A634" s="519"/>
      <c r="B634" s="519"/>
      <c r="C634" s="519"/>
      <c r="D634" s="519"/>
      <c r="E634" s="519"/>
      <c r="F634" s="530"/>
      <c r="G634" s="530"/>
      <c r="H634" s="530"/>
      <c r="I634" s="531"/>
      <c r="J634" s="532"/>
      <c r="K634" s="532"/>
      <c r="L634" s="532"/>
      <c r="M634" s="532"/>
      <c r="N634" s="532"/>
      <c r="O634" s="522"/>
      <c r="P634" s="522"/>
      <c r="Q634" s="522"/>
      <c r="R634" s="522"/>
      <c r="S634" s="522"/>
      <c r="T634" s="522"/>
      <c r="U634" s="522"/>
      <c r="Y634" s="523"/>
    </row>
    <row r="635" spans="1:25" x14ac:dyDescent="0.2">
      <c r="A635" s="519"/>
      <c r="B635" s="519"/>
      <c r="C635" s="519"/>
      <c r="D635" s="519"/>
      <c r="E635" s="519"/>
      <c r="F635" s="530"/>
      <c r="G635" s="530"/>
      <c r="H635" s="530"/>
      <c r="I635" s="531"/>
      <c r="J635" s="532"/>
      <c r="K635" s="532"/>
      <c r="L635" s="532"/>
      <c r="M635" s="532"/>
      <c r="N635" s="532"/>
      <c r="O635" s="522"/>
      <c r="P635" s="522"/>
      <c r="Q635" s="522"/>
      <c r="R635" s="522"/>
      <c r="S635" s="522"/>
      <c r="T635" s="522"/>
      <c r="U635" s="522"/>
      <c r="Y635" s="523"/>
    </row>
    <row r="636" spans="1:25" x14ac:dyDescent="0.2">
      <c r="A636" s="519"/>
      <c r="B636" s="519"/>
      <c r="C636" s="519"/>
      <c r="D636" s="519"/>
      <c r="E636" s="519"/>
      <c r="F636" s="530"/>
      <c r="G636" s="530"/>
      <c r="H636" s="530"/>
      <c r="I636" s="531"/>
      <c r="J636" s="532"/>
      <c r="K636" s="532"/>
      <c r="L636" s="532"/>
      <c r="M636" s="532"/>
      <c r="N636" s="532"/>
      <c r="O636" s="522"/>
      <c r="P636" s="522"/>
      <c r="Q636" s="522"/>
      <c r="R636" s="522"/>
      <c r="S636" s="522"/>
      <c r="T636" s="522"/>
      <c r="U636" s="522"/>
      <c r="Y636" s="523"/>
    </row>
    <row r="637" spans="1:25" x14ac:dyDescent="0.2">
      <c r="A637" s="519"/>
      <c r="B637" s="519"/>
      <c r="C637" s="519"/>
      <c r="D637" s="519"/>
      <c r="E637" s="519"/>
      <c r="F637" s="530"/>
      <c r="G637" s="530"/>
      <c r="H637" s="530"/>
      <c r="I637" s="531"/>
      <c r="J637" s="532"/>
      <c r="K637" s="532"/>
      <c r="L637" s="532"/>
      <c r="M637" s="532"/>
      <c r="N637" s="532"/>
      <c r="O637" s="522"/>
      <c r="P637" s="522"/>
      <c r="Q637" s="522"/>
      <c r="R637" s="522"/>
      <c r="S637" s="522"/>
      <c r="T637" s="522"/>
      <c r="U637" s="522"/>
      <c r="Y637" s="523"/>
    </row>
    <row r="638" spans="1:25" x14ac:dyDescent="0.2">
      <c r="A638" s="519"/>
      <c r="B638" s="519"/>
      <c r="C638" s="519"/>
      <c r="D638" s="519"/>
      <c r="E638" s="519"/>
      <c r="F638" s="530"/>
      <c r="G638" s="530"/>
      <c r="H638" s="530"/>
      <c r="I638" s="531"/>
      <c r="J638" s="532"/>
      <c r="K638" s="532"/>
      <c r="L638" s="532"/>
      <c r="M638" s="532"/>
      <c r="N638" s="532"/>
      <c r="O638" s="522"/>
      <c r="P638" s="522"/>
      <c r="Q638" s="522"/>
      <c r="R638" s="522"/>
      <c r="S638" s="522"/>
      <c r="T638" s="522"/>
      <c r="U638" s="522"/>
      <c r="Y638" s="523"/>
    </row>
    <row r="639" spans="1:25" x14ac:dyDescent="0.2">
      <c r="A639" s="519"/>
      <c r="B639" s="519"/>
      <c r="C639" s="519"/>
      <c r="D639" s="519"/>
      <c r="E639" s="519"/>
      <c r="F639" s="530"/>
      <c r="G639" s="530"/>
      <c r="H639" s="530"/>
      <c r="I639" s="531"/>
      <c r="J639" s="532"/>
      <c r="K639" s="532"/>
      <c r="L639" s="532"/>
      <c r="M639" s="532"/>
      <c r="N639" s="532"/>
      <c r="O639" s="522"/>
      <c r="P639" s="522"/>
      <c r="Q639" s="522"/>
      <c r="R639" s="522"/>
      <c r="S639" s="522"/>
      <c r="T639" s="522"/>
      <c r="U639" s="522"/>
      <c r="Y639" s="523"/>
    </row>
    <row r="640" spans="1:25" x14ac:dyDescent="0.2">
      <c r="A640" s="519"/>
      <c r="B640" s="519"/>
      <c r="C640" s="519"/>
      <c r="D640" s="519"/>
      <c r="E640" s="519"/>
      <c r="F640" s="530"/>
      <c r="G640" s="530"/>
      <c r="H640" s="530"/>
      <c r="I640" s="531"/>
      <c r="J640" s="532"/>
      <c r="K640" s="532"/>
      <c r="L640" s="532"/>
      <c r="M640" s="532"/>
      <c r="N640" s="532"/>
      <c r="O640" s="522"/>
      <c r="P640" s="522"/>
      <c r="Q640" s="522"/>
      <c r="R640" s="522"/>
      <c r="S640" s="522"/>
      <c r="T640" s="522"/>
      <c r="U640" s="522"/>
      <c r="Y640" s="523"/>
    </row>
    <row r="641" spans="1:25" x14ac:dyDescent="0.2">
      <c r="A641" s="519"/>
      <c r="B641" s="519"/>
      <c r="C641" s="519"/>
      <c r="D641" s="519"/>
      <c r="E641" s="519"/>
      <c r="F641" s="530"/>
      <c r="G641" s="530"/>
      <c r="H641" s="530"/>
      <c r="I641" s="531"/>
      <c r="J641" s="532"/>
      <c r="K641" s="532"/>
      <c r="L641" s="532"/>
      <c r="M641" s="532"/>
      <c r="N641" s="532"/>
      <c r="O641" s="522"/>
      <c r="P641" s="522"/>
      <c r="Q641" s="522"/>
      <c r="R641" s="522"/>
      <c r="S641" s="522"/>
      <c r="T641" s="522"/>
      <c r="U641" s="522"/>
      <c r="Y641" s="523"/>
    </row>
    <row r="642" spans="1:25" x14ac:dyDescent="0.2">
      <c r="A642" s="519"/>
      <c r="B642" s="519"/>
      <c r="C642" s="519"/>
      <c r="D642" s="519"/>
      <c r="E642" s="519"/>
      <c r="F642" s="530"/>
      <c r="G642" s="530"/>
      <c r="H642" s="530"/>
      <c r="I642" s="531"/>
      <c r="J642" s="532"/>
      <c r="K642" s="532"/>
      <c r="L642" s="532"/>
      <c r="M642" s="532"/>
      <c r="N642" s="532"/>
      <c r="O642" s="522"/>
      <c r="P642" s="522"/>
      <c r="Q642" s="522"/>
      <c r="R642" s="522"/>
      <c r="S642" s="522"/>
      <c r="T642" s="522"/>
      <c r="U642" s="522"/>
      <c r="Y642" s="523"/>
    </row>
    <row r="643" spans="1:25" x14ac:dyDescent="0.2">
      <c r="A643" s="519"/>
      <c r="B643" s="519"/>
      <c r="C643" s="519"/>
      <c r="D643" s="519"/>
      <c r="E643" s="519"/>
      <c r="F643" s="530"/>
      <c r="G643" s="530"/>
      <c r="H643" s="530"/>
      <c r="I643" s="531"/>
      <c r="J643" s="532"/>
      <c r="K643" s="532"/>
      <c r="L643" s="532"/>
      <c r="M643" s="532"/>
      <c r="N643" s="532"/>
      <c r="O643" s="522"/>
      <c r="P643" s="522"/>
      <c r="Q643" s="522"/>
      <c r="R643" s="522"/>
      <c r="S643" s="522"/>
      <c r="T643" s="522"/>
      <c r="U643" s="522"/>
      <c r="Y643" s="523"/>
    </row>
    <row r="644" spans="1:25" x14ac:dyDescent="0.2">
      <c r="A644" s="519"/>
      <c r="B644" s="519"/>
      <c r="C644" s="519"/>
      <c r="D644" s="519"/>
      <c r="E644" s="519"/>
      <c r="F644" s="530"/>
      <c r="G644" s="530"/>
      <c r="H644" s="530"/>
      <c r="I644" s="531"/>
      <c r="J644" s="532"/>
      <c r="K644" s="532"/>
      <c r="L644" s="532"/>
      <c r="M644" s="532"/>
      <c r="N644" s="532"/>
      <c r="O644" s="522"/>
      <c r="P644" s="522"/>
      <c r="Q644" s="522"/>
      <c r="R644" s="522"/>
      <c r="S644" s="522"/>
      <c r="T644" s="522"/>
      <c r="U644" s="522"/>
      <c r="Y644" s="523"/>
    </row>
    <row r="645" spans="1:25" x14ac:dyDescent="0.2">
      <c r="A645" s="519"/>
      <c r="B645" s="519"/>
      <c r="C645" s="519"/>
      <c r="D645" s="519"/>
      <c r="E645" s="519"/>
      <c r="F645" s="530"/>
      <c r="G645" s="530"/>
      <c r="H645" s="530"/>
      <c r="I645" s="531"/>
      <c r="J645" s="532"/>
      <c r="K645" s="532"/>
      <c r="L645" s="532"/>
      <c r="M645" s="532"/>
      <c r="N645" s="532"/>
      <c r="O645" s="522"/>
      <c r="P645" s="522"/>
      <c r="Q645" s="522"/>
      <c r="R645" s="522"/>
      <c r="S645" s="522"/>
      <c r="T645" s="522"/>
      <c r="U645" s="522"/>
      <c r="Y645" s="523"/>
    </row>
    <row r="646" spans="1:25" x14ac:dyDescent="0.2">
      <c r="A646" s="519"/>
      <c r="B646" s="519"/>
      <c r="C646" s="519"/>
      <c r="D646" s="519"/>
      <c r="E646" s="519"/>
      <c r="F646" s="530"/>
      <c r="G646" s="530"/>
      <c r="H646" s="530"/>
      <c r="I646" s="531"/>
      <c r="J646" s="532"/>
      <c r="K646" s="532"/>
      <c r="L646" s="532"/>
      <c r="M646" s="532"/>
      <c r="N646" s="532"/>
      <c r="O646" s="522"/>
      <c r="P646" s="522"/>
      <c r="Q646" s="522"/>
      <c r="R646" s="522"/>
      <c r="S646" s="522"/>
      <c r="T646" s="522"/>
      <c r="U646" s="522"/>
      <c r="Y646" s="523"/>
    </row>
    <row r="647" spans="1:25" x14ac:dyDescent="0.2">
      <c r="A647" s="519"/>
      <c r="B647" s="519"/>
      <c r="C647" s="519"/>
      <c r="D647" s="519"/>
      <c r="E647" s="519"/>
      <c r="F647" s="530"/>
      <c r="G647" s="530"/>
      <c r="H647" s="530"/>
      <c r="I647" s="531"/>
      <c r="J647" s="532"/>
      <c r="K647" s="532"/>
      <c r="L647" s="532"/>
      <c r="M647" s="532"/>
      <c r="N647" s="532"/>
      <c r="O647" s="522"/>
      <c r="P647" s="522"/>
      <c r="Q647" s="522"/>
      <c r="R647" s="522"/>
      <c r="S647" s="522"/>
      <c r="T647" s="522"/>
      <c r="U647" s="522"/>
      <c r="Y647" s="523"/>
    </row>
    <row r="648" spans="1:25" x14ac:dyDescent="0.2">
      <c r="A648" s="519"/>
      <c r="B648" s="519"/>
      <c r="C648" s="519"/>
      <c r="D648" s="519"/>
      <c r="E648" s="519"/>
      <c r="F648" s="530"/>
      <c r="G648" s="530"/>
      <c r="H648" s="530"/>
      <c r="I648" s="531"/>
      <c r="J648" s="532"/>
      <c r="K648" s="532"/>
      <c r="L648" s="532"/>
      <c r="M648" s="532"/>
      <c r="N648" s="532"/>
      <c r="O648" s="522"/>
      <c r="P648" s="522"/>
      <c r="Q648" s="522"/>
      <c r="R648" s="522"/>
      <c r="S648" s="522"/>
      <c r="T648" s="522"/>
      <c r="U648" s="522"/>
      <c r="Y648" s="523"/>
    </row>
    <row r="649" spans="1:25" x14ac:dyDescent="0.2">
      <c r="A649" s="519"/>
      <c r="B649" s="519"/>
      <c r="C649" s="519"/>
      <c r="D649" s="519"/>
      <c r="E649" s="519"/>
      <c r="F649" s="530"/>
      <c r="G649" s="530"/>
      <c r="H649" s="530"/>
      <c r="I649" s="531"/>
      <c r="J649" s="532"/>
      <c r="K649" s="532"/>
      <c r="L649" s="532"/>
      <c r="M649" s="532"/>
      <c r="N649" s="532"/>
      <c r="O649" s="522"/>
      <c r="P649" s="522"/>
      <c r="Q649" s="522"/>
      <c r="R649" s="522"/>
      <c r="S649" s="522"/>
      <c r="T649" s="522"/>
      <c r="U649" s="522"/>
      <c r="Y649" s="523"/>
    </row>
    <row r="650" spans="1:25" x14ac:dyDescent="0.2">
      <c r="A650" s="519"/>
      <c r="B650" s="519"/>
      <c r="C650" s="519"/>
      <c r="D650" s="519"/>
      <c r="E650" s="519"/>
      <c r="F650" s="530"/>
      <c r="G650" s="530"/>
      <c r="H650" s="530"/>
      <c r="I650" s="531"/>
      <c r="J650" s="532"/>
      <c r="K650" s="532"/>
      <c r="L650" s="532"/>
      <c r="M650" s="532"/>
      <c r="N650" s="532"/>
      <c r="O650" s="522"/>
      <c r="P650" s="522"/>
      <c r="Q650" s="522"/>
      <c r="R650" s="522"/>
      <c r="S650" s="522"/>
      <c r="T650" s="522"/>
      <c r="U650" s="522"/>
      <c r="Y650" s="523"/>
    </row>
    <row r="651" spans="1:25" x14ac:dyDescent="0.2">
      <c r="A651" s="519"/>
      <c r="B651" s="519"/>
      <c r="C651" s="519"/>
      <c r="D651" s="519"/>
      <c r="E651" s="519"/>
      <c r="F651" s="530"/>
      <c r="G651" s="530"/>
      <c r="H651" s="530"/>
      <c r="I651" s="531"/>
      <c r="J651" s="532"/>
      <c r="K651" s="532"/>
      <c r="L651" s="532"/>
      <c r="M651" s="532"/>
      <c r="N651" s="532"/>
      <c r="O651" s="522"/>
      <c r="P651" s="522"/>
      <c r="Q651" s="522"/>
      <c r="R651" s="522"/>
      <c r="S651" s="522"/>
      <c r="T651" s="522"/>
      <c r="U651" s="522"/>
      <c r="Y651" s="523"/>
    </row>
    <row r="652" spans="1:25" x14ac:dyDescent="0.2">
      <c r="A652" s="519"/>
      <c r="B652" s="519"/>
      <c r="C652" s="519"/>
      <c r="D652" s="519"/>
      <c r="E652" s="519"/>
      <c r="F652" s="530"/>
      <c r="G652" s="530"/>
      <c r="H652" s="530"/>
      <c r="I652" s="531"/>
      <c r="J652" s="532"/>
      <c r="K652" s="532"/>
      <c r="L652" s="532"/>
      <c r="M652" s="532"/>
      <c r="N652" s="532"/>
      <c r="O652" s="522"/>
      <c r="P652" s="522"/>
      <c r="Q652" s="522"/>
      <c r="R652" s="522"/>
      <c r="S652" s="522"/>
      <c r="T652" s="522"/>
      <c r="U652" s="522"/>
      <c r="Y652" s="523"/>
    </row>
    <row r="653" spans="1:25" x14ac:dyDescent="0.2">
      <c r="A653" s="519"/>
      <c r="B653" s="519"/>
      <c r="C653" s="519"/>
      <c r="D653" s="519"/>
      <c r="E653" s="519"/>
      <c r="F653" s="530"/>
      <c r="G653" s="530"/>
      <c r="H653" s="530"/>
      <c r="I653" s="531"/>
      <c r="J653" s="532"/>
      <c r="K653" s="532"/>
      <c r="L653" s="532"/>
      <c r="M653" s="532"/>
      <c r="N653" s="532"/>
      <c r="O653" s="522"/>
      <c r="P653" s="522"/>
      <c r="Q653" s="522"/>
      <c r="R653" s="522"/>
      <c r="S653" s="522"/>
      <c r="T653" s="522"/>
      <c r="U653" s="522"/>
      <c r="Y653" s="523"/>
    </row>
    <row r="654" spans="1:25" x14ac:dyDescent="0.2">
      <c r="A654" s="519"/>
      <c r="B654" s="519"/>
      <c r="C654" s="519"/>
      <c r="D654" s="519"/>
      <c r="E654" s="519"/>
      <c r="F654" s="530"/>
      <c r="G654" s="530"/>
      <c r="H654" s="530"/>
      <c r="I654" s="531"/>
      <c r="J654" s="532"/>
      <c r="K654" s="532"/>
      <c r="L654" s="532"/>
      <c r="M654" s="532"/>
      <c r="N654" s="532"/>
      <c r="O654" s="522"/>
      <c r="P654" s="522"/>
      <c r="Q654" s="522"/>
      <c r="R654" s="522"/>
      <c r="S654" s="522"/>
      <c r="T654" s="522"/>
      <c r="U654" s="522"/>
      <c r="Y654" s="523"/>
    </row>
    <row r="655" spans="1:25" x14ac:dyDescent="0.2">
      <c r="A655" s="519"/>
      <c r="B655" s="519"/>
      <c r="C655" s="519"/>
      <c r="D655" s="519"/>
      <c r="E655" s="519"/>
      <c r="F655" s="530"/>
      <c r="G655" s="530"/>
      <c r="H655" s="530"/>
      <c r="I655" s="531"/>
      <c r="J655" s="532"/>
      <c r="K655" s="532"/>
      <c r="L655" s="532"/>
      <c r="M655" s="532"/>
      <c r="N655" s="532"/>
      <c r="O655" s="522"/>
      <c r="P655" s="522"/>
      <c r="Q655" s="522"/>
      <c r="R655" s="522"/>
      <c r="S655" s="522"/>
      <c r="T655" s="522"/>
      <c r="U655" s="522"/>
      <c r="Y655" s="523"/>
    </row>
    <row r="656" spans="1:25" x14ac:dyDescent="0.2">
      <c r="A656" s="519"/>
      <c r="B656" s="519"/>
      <c r="C656" s="519"/>
      <c r="D656" s="519"/>
      <c r="E656" s="519"/>
      <c r="F656" s="530"/>
      <c r="G656" s="530"/>
      <c r="H656" s="530"/>
      <c r="I656" s="531"/>
      <c r="J656" s="532"/>
      <c r="K656" s="532"/>
      <c r="L656" s="532"/>
      <c r="M656" s="532"/>
      <c r="N656" s="532"/>
      <c r="O656" s="522"/>
      <c r="P656" s="522"/>
      <c r="Q656" s="522"/>
      <c r="R656" s="522"/>
      <c r="S656" s="522"/>
      <c r="T656" s="522"/>
      <c r="U656" s="522"/>
      <c r="Y656" s="523"/>
    </row>
    <row r="657" spans="1:25" x14ac:dyDescent="0.2">
      <c r="A657" s="519"/>
      <c r="B657" s="519"/>
      <c r="C657" s="519"/>
      <c r="D657" s="519"/>
      <c r="E657" s="519"/>
      <c r="F657" s="530"/>
      <c r="G657" s="530"/>
      <c r="H657" s="530"/>
      <c r="I657" s="531"/>
      <c r="J657" s="532"/>
      <c r="K657" s="532"/>
      <c r="L657" s="532"/>
      <c r="M657" s="532"/>
      <c r="N657" s="532"/>
      <c r="O657" s="522"/>
      <c r="P657" s="522"/>
      <c r="Q657" s="522"/>
      <c r="R657" s="522"/>
      <c r="S657" s="522"/>
      <c r="T657" s="522"/>
      <c r="U657" s="522"/>
      <c r="Y657" s="523"/>
    </row>
    <row r="658" spans="1:25" x14ac:dyDescent="0.2">
      <c r="A658" s="519"/>
      <c r="B658" s="519"/>
      <c r="C658" s="519"/>
      <c r="D658" s="519"/>
      <c r="E658" s="519"/>
      <c r="F658" s="530"/>
      <c r="G658" s="530"/>
      <c r="H658" s="530"/>
      <c r="I658" s="531"/>
      <c r="J658" s="532"/>
      <c r="K658" s="532"/>
      <c r="L658" s="532"/>
      <c r="M658" s="532"/>
      <c r="N658" s="532"/>
      <c r="O658" s="522"/>
      <c r="P658" s="522"/>
      <c r="Q658" s="522"/>
      <c r="R658" s="522"/>
      <c r="S658" s="522"/>
      <c r="T658" s="522"/>
      <c r="U658" s="522"/>
      <c r="Y658" s="523"/>
    </row>
    <row r="659" spans="1:25" x14ac:dyDescent="0.2">
      <c r="A659" s="519"/>
      <c r="B659" s="519"/>
      <c r="C659" s="519"/>
      <c r="D659" s="519"/>
      <c r="E659" s="519"/>
      <c r="F659" s="530"/>
      <c r="G659" s="530"/>
      <c r="H659" s="530"/>
      <c r="I659" s="531"/>
      <c r="J659" s="532"/>
      <c r="K659" s="532"/>
      <c r="L659" s="532"/>
      <c r="M659" s="532"/>
      <c r="N659" s="532"/>
      <c r="O659" s="522"/>
      <c r="P659" s="522"/>
      <c r="Q659" s="522"/>
      <c r="R659" s="522"/>
      <c r="S659" s="522"/>
      <c r="T659" s="522"/>
      <c r="U659" s="522"/>
      <c r="Y659" s="523"/>
    </row>
    <row r="660" spans="1:25" x14ac:dyDescent="0.2">
      <c r="A660" s="519"/>
      <c r="B660" s="519"/>
      <c r="C660" s="519"/>
      <c r="D660" s="519"/>
      <c r="E660" s="519"/>
      <c r="F660" s="530"/>
      <c r="G660" s="530"/>
      <c r="H660" s="530"/>
      <c r="I660" s="531"/>
      <c r="J660" s="532"/>
      <c r="K660" s="532"/>
      <c r="L660" s="532"/>
      <c r="M660" s="532"/>
      <c r="N660" s="532"/>
      <c r="O660" s="522"/>
      <c r="P660" s="522"/>
      <c r="Q660" s="522"/>
      <c r="R660" s="522"/>
      <c r="S660" s="522"/>
      <c r="T660" s="522"/>
      <c r="U660" s="522"/>
      <c r="Y660" s="523"/>
    </row>
    <row r="661" spans="1:25" x14ac:dyDescent="0.2">
      <c r="A661" s="519"/>
      <c r="B661" s="519"/>
      <c r="C661" s="519"/>
      <c r="D661" s="519"/>
      <c r="E661" s="519"/>
      <c r="F661" s="530"/>
      <c r="G661" s="530"/>
      <c r="H661" s="530"/>
      <c r="I661" s="531"/>
      <c r="J661" s="532"/>
      <c r="K661" s="532"/>
      <c r="L661" s="532"/>
      <c r="M661" s="532"/>
      <c r="N661" s="532"/>
      <c r="O661" s="522"/>
      <c r="P661" s="522"/>
      <c r="Q661" s="522"/>
      <c r="R661" s="522"/>
      <c r="S661" s="522"/>
      <c r="T661" s="522"/>
      <c r="U661" s="522"/>
      <c r="Y661" s="523"/>
    </row>
    <row r="662" spans="1:25" x14ac:dyDescent="0.2">
      <c r="A662" s="519"/>
      <c r="B662" s="519"/>
      <c r="C662" s="519"/>
      <c r="D662" s="519"/>
      <c r="E662" s="519"/>
      <c r="F662" s="530"/>
      <c r="G662" s="530"/>
      <c r="H662" s="530"/>
      <c r="I662" s="531"/>
      <c r="J662" s="532"/>
      <c r="K662" s="532"/>
      <c r="L662" s="532"/>
      <c r="M662" s="532"/>
      <c r="N662" s="532"/>
      <c r="O662" s="522"/>
      <c r="P662" s="522"/>
      <c r="Q662" s="522"/>
      <c r="R662" s="522"/>
      <c r="S662" s="522"/>
      <c r="T662" s="522"/>
      <c r="U662" s="522"/>
      <c r="Y662" s="523"/>
    </row>
    <row r="663" spans="1:25" x14ac:dyDescent="0.2">
      <c r="A663" s="519"/>
      <c r="B663" s="519"/>
      <c r="C663" s="519"/>
      <c r="D663" s="519"/>
      <c r="E663" s="519"/>
      <c r="F663" s="530"/>
      <c r="G663" s="530"/>
      <c r="H663" s="530"/>
      <c r="I663" s="531"/>
      <c r="J663" s="532"/>
      <c r="K663" s="532"/>
      <c r="L663" s="532"/>
      <c r="M663" s="532"/>
      <c r="N663" s="532"/>
      <c r="O663" s="522"/>
      <c r="P663" s="522"/>
      <c r="Q663" s="522"/>
      <c r="R663" s="522"/>
      <c r="S663" s="522"/>
      <c r="T663" s="522"/>
      <c r="U663" s="522"/>
      <c r="Y663" s="523"/>
    </row>
    <row r="664" spans="1:25" x14ac:dyDescent="0.2">
      <c r="A664" s="519"/>
      <c r="B664" s="519"/>
      <c r="C664" s="519"/>
      <c r="D664" s="519"/>
      <c r="E664" s="519"/>
      <c r="F664" s="530"/>
      <c r="G664" s="530"/>
      <c r="H664" s="530"/>
      <c r="I664" s="531"/>
      <c r="J664" s="532"/>
      <c r="K664" s="532"/>
      <c r="L664" s="532"/>
      <c r="M664" s="532"/>
      <c r="N664" s="532"/>
      <c r="O664" s="522"/>
      <c r="P664" s="522"/>
      <c r="Q664" s="522"/>
      <c r="R664" s="522"/>
      <c r="S664" s="522"/>
      <c r="T664" s="522"/>
      <c r="U664" s="522"/>
      <c r="Y664" s="523"/>
    </row>
    <row r="665" spans="1:25" x14ac:dyDescent="0.2">
      <c r="A665" s="519"/>
      <c r="B665" s="519"/>
      <c r="C665" s="519"/>
      <c r="D665" s="519"/>
      <c r="E665" s="519"/>
      <c r="F665" s="530"/>
      <c r="G665" s="530"/>
      <c r="H665" s="530"/>
      <c r="I665" s="531"/>
      <c r="J665" s="532"/>
      <c r="K665" s="532"/>
      <c r="L665" s="532"/>
      <c r="M665" s="532"/>
      <c r="N665" s="532"/>
      <c r="O665" s="522"/>
      <c r="P665" s="522"/>
      <c r="Q665" s="522"/>
      <c r="R665" s="522"/>
      <c r="S665" s="522"/>
      <c r="T665" s="522"/>
      <c r="U665" s="522"/>
      <c r="Y665" s="523"/>
    </row>
    <row r="666" spans="1:25" x14ac:dyDescent="0.2">
      <c r="A666" s="519"/>
      <c r="B666" s="519"/>
      <c r="C666" s="519"/>
      <c r="D666" s="519"/>
      <c r="E666" s="519"/>
      <c r="F666" s="530"/>
      <c r="G666" s="530"/>
      <c r="H666" s="530"/>
      <c r="I666" s="531"/>
      <c r="J666" s="532"/>
      <c r="K666" s="532"/>
      <c r="L666" s="532"/>
      <c r="M666" s="532"/>
      <c r="N666" s="532"/>
      <c r="O666" s="522"/>
      <c r="P666" s="522"/>
      <c r="Q666" s="522"/>
      <c r="R666" s="522"/>
      <c r="S666" s="522"/>
      <c r="T666" s="522"/>
      <c r="U666" s="522"/>
      <c r="Y666" s="523"/>
    </row>
    <row r="667" spans="1:25" x14ac:dyDescent="0.2">
      <c r="A667" s="519"/>
      <c r="B667" s="519"/>
      <c r="C667" s="519"/>
      <c r="D667" s="519"/>
      <c r="E667" s="519"/>
      <c r="F667" s="530"/>
      <c r="G667" s="530"/>
      <c r="H667" s="530"/>
      <c r="I667" s="531"/>
      <c r="J667" s="532"/>
      <c r="K667" s="532"/>
      <c r="L667" s="532"/>
      <c r="M667" s="532"/>
      <c r="N667" s="532"/>
      <c r="O667" s="522"/>
      <c r="P667" s="522"/>
      <c r="Q667" s="522"/>
      <c r="R667" s="522"/>
      <c r="S667" s="522"/>
      <c r="T667" s="522"/>
      <c r="U667" s="522"/>
      <c r="Y667" s="523"/>
    </row>
    <row r="668" spans="1:25" x14ac:dyDescent="0.2">
      <c r="A668" s="519"/>
      <c r="B668" s="519"/>
      <c r="C668" s="519"/>
      <c r="D668" s="519"/>
      <c r="E668" s="519"/>
      <c r="F668" s="530"/>
      <c r="G668" s="530"/>
      <c r="H668" s="530"/>
      <c r="I668" s="531"/>
      <c r="J668" s="532"/>
      <c r="K668" s="532"/>
      <c r="L668" s="532"/>
      <c r="M668" s="532"/>
      <c r="N668" s="532"/>
      <c r="O668" s="522"/>
      <c r="P668" s="522"/>
      <c r="Q668" s="522"/>
      <c r="R668" s="522"/>
      <c r="S668" s="522"/>
      <c r="T668" s="522"/>
      <c r="U668" s="522"/>
      <c r="Y668" s="523"/>
    </row>
    <row r="669" spans="1:25" x14ac:dyDescent="0.2">
      <c r="A669" s="519"/>
      <c r="B669" s="519"/>
      <c r="C669" s="519"/>
      <c r="D669" s="519"/>
      <c r="E669" s="519"/>
      <c r="F669" s="530"/>
      <c r="G669" s="530"/>
      <c r="H669" s="530"/>
      <c r="I669" s="531"/>
      <c r="J669" s="532"/>
      <c r="K669" s="532"/>
      <c r="L669" s="532"/>
      <c r="M669" s="532"/>
      <c r="N669" s="532"/>
      <c r="O669" s="522"/>
      <c r="P669" s="522"/>
      <c r="Q669" s="522"/>
      <c r="R669" s="522"/>
      <c r="S669" s="522"/>
      <c r="T669" s="522"/>
      <c r="U669" s="522"/>
      <c r="Y669" s="523"/>
    </row>
    <row r="670" spans="1:25" x14ac:dyDescent="0.2">
      <c r="A670" s="519"/>
      <c r="B670" s="519"/>
      <c r="C670" s="519"/>
      <c r="D670" s="519"/>
      <c r="E670" s="519"/>
      <c r="F670" s="530"/>
      <c r="G670" s="530"/>
      <c r="H670" s="530"/>
      <c r="I670" s="531"/>
      <c r="J670" s="532"/>
      <c r="K670" s="532"/>
      <c r="L670" s="532"/>
      <c r="M670" s="532"/>
      <c r="N670" s="532"/>
      <c r="O670" s="522"/>
      <c r="P670" s="522"/>
      <c r="Q670" s="522"/>
      <c r="R670" s="522"/>
      <c r="S670" s="522"/>
      <c r="T670" s="522"/>
      <c r="U670" s="522"/>
      <c r="Y670" s="523"/>
    </row>
    <row r="671" spans="1:25" x14ac:dyDescent="0.2">
      <c r="A671" s="519"/>
      <c r="B671" s="519"/>
      <c r="C671" s="519"/>
      <c r="D671" s="519"/>
      <c r="E671" s="519"/>
      <c r="F671" s="530"/>
      <c r="G671" s="530"/>
      <c r="H671" s="530"/>
      <c r="I671" s="531"/>
      <c r="J671" s="532"/>
      <c r="K671" s="532"/>
      <c r="L671" s="532"/>
      <c r="M671" s="532"/>
      <c r="N671" s="532"/>
      <c r="O671" s="522"/>
      <c r="P671" s="522"/>
      <c r="Q671" s="522"/>
      <c r="R671" s="522"/>
      <c r="S671" s="522"/>
      <c r="T671" s="522"/>
      <c r="U671" s="522"/>
      <c r="Y671" s="523"/>
    </row>
    <row r="672" spans="1:25" x14ac:dyDescent="0.2">
      <c r="A672" s="519"/>
      <c r="B672" s="519"/>
      <c r="C672" s="519"/>
      <c r="D672" s="519"/>
      <c r="E672" s="519"/>
      <c r="F672" s="530"/>
      <c r="G672" s="530"/>
      <c r="H672" s="530"/>
      <c r="I672" s="531"/>
      <c r="J672" s="532"/>
      <c r="K672" s="532"/>
      <c r="L672" s="532"/>
      <c r="M672" s="532"/>
      <c r="N672" s="532"/>
      <c r="O672" s="522"/>
      <c r="P672" s="522"/>
      <c r="Q672" s="522"/>
      <c r="R672" s="522"/>
      <c r="S672" s="522"/>
      <c r="T672" s="522"/>
      <c r="U672" s="522"/>
      <c r="Y672" s="523"/>
    </row>
    <row r="673" spans="1:25" x14ac:dyDescent="0.2">
      <c r="A673" s="519"/>
      <c r="B673" s="519"/>
      <c r="C673" s="519"/>
      <c r="D673" s="519"/>
      <c r="E673" s="519"/>
      <c r="F673" s="530"/>
      <c r="G673" s="530"/>
      <c r="H673" s="530"/>
      <c r="I673" s="531"/>
      <c r="J673" s="532"/>
      <c r="K673" s="532"/>
      <c r="L673" s="532"/>
      <c r="M673" s="532"/>
      <c r="N673" s="532"/>
      <c r="O673" s="522"/>
      <c r="P673" s="522"/>
      <c r="Q673" s="522"/>
      <c r="R673" s="522"/>
      <c r="S673" s="522"/>
      <c r="T673" s="522"/>
      <c r="U673" s="522"/>
      <c r="Y673" s="523"/>
    </row>
    <row r="674" spans="1:25" x14ac:dyDescent="0.2">
      <c r="A674" s="519"/>
      <c r="B674" s="519"/>
      <c r="C674" s="519"/>
      <c r="D674" s="519"/>
      <c r="E674" s="519"/>
      <c r="F674" s="530"/>
      <c r="G674" s="530"/>
      <c r="H674" s="530"/>
      <c r="I674" s="531"/>
      <c r="J674" s="532"/>
      <c r="K674" s="532"/>
      <c r="L674" s="532"/>
      <c r="M674" s="532"/>
      <c r="N674" s="532"/>
      <c r="O674" s="522"/>
      <c r="P674" s="522"/>
      <c r="Q674" s="522"/>
      <c r="R674" s="522"/>
      <c r="S674" s="522"/>
      <c r="T674" s="522"/>
      <c r="U674" s="522"/>
      <c r="Y674" s="523"/>
    </row>
    <row r="675" spans="1:25" x14ac:dyDescent="0.2">
      <c r="A675" s="519"/>
      <c r="B675" s="519"/>
      <c r="C675" s="519"/>
      <c r="D675" s="519"/>
      <c r="E675" s="519"/>
      <c r="F675" s="530"/>
      <c r="G675" s="530"/>
      <c r="H675" s="530"/>
      <c r="I675" s="531"/>
      <c r="J675" s="532"/>
      <c r="K675" s="532"/>
      <c r="L675" s="532"/>
      <c r="M675" s="532"/>
      <c r="N675" s="532"/>
      <c r="O675" s="522"/>
      <c r="P675" s="522"/>
      <c r="Q675" s="522"/>
      <c r="R675" s="522"/>
      <c r="S675" s="522"/>
      <c r="T675" s="522"/>
      <c r="U675" s="522"/>
      <c r="Y675" s="523"/>
    </row>
    <row r="676" spans="1:25" x14ac:dyDescent="0.2">
      <c r="A676" s="519"/>
      <c r="B676" s="519"/>
      <c r="C676" s="519"/>
      <c r="D676" s="519"/>
      <c r="E676" s="519"/>
      <c r="F676" s="530"/>
      <c r="G676" s="530"/>
      <c r="H676" s="530"/>
      <c r="I676" s="531"/>
      <c r="J676" s="532"/>
      <c r="K676" s="532"/>
      <c r="L676" s="532"/>
      <c r="M676" s="532"/>
      <c r="N676" s="532"/>
      <c r="O676" s="522"/>
      <c r="P676" s="522"/>
      <c r="Q676" s="522"/>
      <c r="R676" s="522"/>
      <c r="S676" s="522"/>
      <c r="T676" s="522"/>
      <c r="U676" s="522"/>
      <c r="Y676" s="523"/>
    </row>
    <row r="677" spans="1:25" x14ac:dyDescent="0.2">
      <c r="A677" s="519"/>
      <c r="B677" s="519"/>
      <c r="C677" s="519"/>
      <c r="D677" s="519"/>
      <c r="E677" s="519"/>
      <c r="F677" s="530"/>
      <c r="G677" s="530"/>
      <c r="H677" s="530"/>
      <c r="I677" s="531"/>
      <c r="J677" s="532"/>
      <c r="K677" s="532"/>
      <c r="L677" s="532"/>
      <c r="M677" s="532"/>
      <c r="N677" s="532"/>
      <c r="O677" s="522"/>
      <c r="P677" s="522"/>
      <c r="Q677" s="522"/>
      <c r="R677" s="522"/>
      <c r="S677" s="522"/>
      <c r="T677" s="522"/>
      <c r="U677" s="522"/>
      <c r="Y677" s="523"/>
    </row>
    <row r="678" spans="1:25" x14ac:dyDescent="0.2">
      <c r="A678" s="519"/>
      <c r="B678" s="519"/>
      <c r="C678" s="519"/>
      <c r="D678" s="519"/>
      <c r="E678" s="519"/>
      <c r="F678" s="530"/>
      <c r="G678" s="530"/>
      <c r="H678" s="530"/>
      <c r="I678" s="531"/>
      <c r="J678" s="532"/>
      <c r="K678" s="532"/>
      <c r="L678" s="532"/>
      <c r="M678" s="532"/>
      <c r="N678" s="532"/>
      <c r="O678" s="522"/>
      <c r="P678" s="522"/>
      <c r="Q678" s="522"/>
      <c r="R678" s="522"/>
      <c r="S678" s="522"/>
      <c r="T678" s="522"/>
      <c r="U678" s="522"/>
      <c r="Y678" s="523"/>
    </row>
    <row r="679" spans="1:25" x14ac:dyDescent="0.2">
      <c r="A679" s="519"/>
      <c r="B679" s="519"/>
      <c r="C679" s="519"/>
      <c r="D679" s="519"/>
      <c r="E679" s="519"/>
      <c r="F679" s="530"/>
      <c r="G679" s="530"/>
      <c r="H679" s="530"/>
      <c r="I679" s="531"/>
      <c r="J679" s="532"/>
      <c r="K679" s="532"/>
      <c r="L679" s="532"/>
      <c r="M679" s="532"/>
      <c r="N679" s="532"/>
      <c r="O679" s="522"/>
      <c r="P679" s="522"/>
      <c r="Q679" s="522"/>
      <c r="R679" s="522"/>
      <c r="S679" s="522"/>
      <c r="T679" s="522"/>
      <c r="U679" s="522"/>
      <c r="Y679" s="523"/>
    </row>
    <row r="680" spans="1:25" x14ac:dyDescent="0.2">
      <c r="A680" s="519"/>
      <c r="B680" s="519"/>
      <c r="C680" s="519"/>
      <c r="D680" s="519"/>
      <c r="E680" s="519"/>
      <c r="F680" s="530"/>
      <c r="G680" s="530"/>
      <c r="H680" s="530"/>
      <c r="I680" s="531"/>
      <c r="J680" s="532"/>
      <c r="K680" s="532"/>
      <c r="L680" s="532"/>
      <c r="M680" s="532"/>
      <c r="N680" s="532"/>
      <c r="O680" s="522"/>
      <c r="P680" s="522"/>
      <c r="Q680" s="522"/>
      <c r="R680" s="522"/>
      <c r="S680" s="522"/>
      <c r="T680" s="522"/>
      <c r="U680" s="522"/>
      <c r="Y680" s="523"/>
    </row>
    <row r="681" spans="1:25" x14ac:dyDescent="0.2">
      <c r="A681" s="519"/>
      <c r="B681" s="519"/>
      <c r="C681" s="519"/>
      <c r="D681" s="519"/>
      <c r="E681" s="519"/>
      <c r="F681" s="530"/>
      <c r="G681" s="530"/>
      <c r="H681" s="530"/>
      <c r="I681" s="531"/>
      <c r="J681" s="532"/>
      <c r="K681" s="532"/>
      <c r="L681" s="532"/>
      <c r="M681" s="532"/>
      <c r="N681" s="532"/>
      <c r="O681" s="522"/>
      <c r="P681" s="522"/>
      <c r="Q681" s="522"/>
      <c r="R681" s="522"/>
      <c r="S681" s="522"/>
      <c r="T681" s="522"/>
      <c r="U681" s="522"/>
      <c r="Y681" s="523"/>
    </row>
    <row r="682" spans="1:25" x14ac:dyDescent="0.2">
      <c r="A682" s="519"/>
      <c r="B682" s="519"/>
      <c r="C682" s="519"/>
      <c r="D682" s="519"/>
      <c r="E682" s="519"/>
      <c r="F682" s="530"/>
      <c r="G682" s="530"/>
      <c r="H682" s="530"/>
      <c r="I682" s="531"/>
      <c r="J682" s="532"/>
      <c r="K682" s="532"/>
      <c r="L682" s="532"/>
      <c r="M682" s="532"/>
      <c r="N682" s="532"/>
      <c r="O682" s="522"/>
      <c r="P682" s="522"/>
      <c r="Q682" s="522"/>
      <c r="R682" s="522"/>
      <c r="S682" s="522"/>
      <c r="T682" s="522"/>
      <c r="U682" s="522"/>
      <c r="Y682" s="523"/>
    </row>
    <row r="683" spans="1:25" x14ac:dyDescent="0.2">
      <c r="A683" s="519"/>
      <c r="B683" s="519"/>
      <c r="C683" s="519"/>
      <c r="D683" s="519"/>
      <c r="E683" s="519"/>
      <c r="F683" s="530"/>
      <c r="G683" s="530"/>
      <c r="H683" s="530"/>
      <c r="I683" s="531"/>
      <c r="J683" s="532"/>
      <c r="K683" s="532"/>
      <c r="L683" s="532"/>
      <c r="M683" s="532"/>
      <c r="N683" s="532"/>
      <c r="O683" s="522"/>
      <c r="P683" s="522"/>
      <c r="Q683" s="522"/>
      <c r="R683" s="522"/>
      <c r="S683" s="522"/>
      <c r="T683" s="522"/>
      <c r="U683" s="522"/>
      <c r="Y683" s="523"/>
    </row>
    <row r="684" spans="1:25" x14ac:dyDescent="0.2">
      <c r="A684" s="519"/>
      <c r="B684" s="519"/>
      <c r="C684" s="519"/>
      <c r="D684" s="519"/>
      <c r="E684" s="519"/>
      <c r="F684" s="530"/>
      <c r="G684" s="530"/>
      <c r="H684" s="530"/>
      <c r="I684" s="531"/>
      <c r="J684" s="532"/>
      <c r="K684" s="532"/>
      <c r="L684" s="532"/>
      <c r="M684" s="532"/>
      <c r="N684" s="532"/>
      <c r="O684" s="522"/>
      <c r="P684" s="522"/>
      <c r="Q684" s="522"/>
      <c r="R684" s="522"/>
      <c r="S684" s="522"/>
      <c r="T684" s="522"/>
      <c r="U684" s="522"/>
      <c r="Y684" s="523"/>
    </row>
    <row r="685" spans="1:25" x14ac:dyDescent="0.2">
      <c r="A685" s="519"/>
      <c r="B685" s="519"/>
      <c r="C685" s="519"/>
      <c r="D685" s="519"/>
      <c r="E685" s="519"/>
      <c r="F685" s="530"/>
      <c r="G685" s="530"/>
      <c r="H685" s="530"/>
      <c r="I685" s="531"/>
      <c r="J685" s="532"/>
      <c r="K685" s="532"/>
      <c r="L685" s="532"/>
      <c r="M685" s="532"/>
      <c r="N685" s="532"/>
      <c r="O685" s="522"/>
      <c r="P685" s="522"/>
      <c r="Q685" s="522"/>
      <c r="R685" s="522"/>
      <c r="S685" s="522"/>
      <c r="T685" s="522"/>
      <c r="U685" s="522"/>
      <c r="Y685" s="523"/>
    </row>
    <row r="686" spans="1:25" x14ac:dyDescent="0.2">
      <c r="A686" s="519"/>
      <c r="B686" s="519"/>
      <c r="C686" s="519"/>
      <c r="D686" s="519"/>
      <c r="E686" s="519"/>
      <c r="F686" s="530"/>
      <c r="G686" s="530"/>
      <c r="H686" s="530"/>
      <c r="I686" s="531"/>
      <c r="J686" s="532"/>
      <c r="K686" s="532"/>
      <c r="L686" s="532"/>
      <c r="M686" s="532"/>
      <c r="N686" s="532"/>
      <c r="O686" s="522"/>
      <c r="P686" s="522"/>
      <c r="Q686" s="522"/>
      <c r="R686" s="522"/>
      <c r="S686" s="522"/>
      <c r="T686" s="522"/>
      <c r="U686" s="522"/>
      <c r="Y686" s="523"/>
    </row>
    <row r="687" spans="1:25" x14ac:dyDescent="0.2">
      <c r="A687" s="519"/>
      <c r="B687" s="519"/>
      <c r="C687" s="519"/>
      <c r="D687" s="519"/>
      <c r="E687" s="519"/>
      <c r="F687" s="530"/>
      <c r="G687" s="530"/>
      <c r="H687" s="530"/>
      <c r="I687" s="531"/>
      <c r="J687" s="532"/>
      <c r="K687" s="532"/>
      <c r="L687" s="532"/>
      <c r="M687" s="532"/>
      <c r="N687" s="532"/>
      <c r="O687" s="522"/>
      <c r="P687" s="522"/>
      <c r="Q687" s="522"/>
      <c r="R687" s="522"/>
      <c r="S687" s="522"/>
      <c r="T687" s="522"/>
      <c r="U687" s="522"/>
      <c r="Y687" s="523"/>
    </row>
    <row r="688" spans="1:25" x14ac:dyDescent="0.2">
      <c r="A688" s="519"/>
      <c r="B688" s="519"/>
      <c r="C688" s="519"/>
      <c r="D688" s="519"/>
      <c r="E688" s="519"/>
      <c r="F688" s="530"/>
      <c r="G688" s="530"/>
      <c r="H688" s="530"/>
      <c r="I688" s="531"/>
      <c r="J688" s="532"/>
      <c r="K688" s="532"/>
      <c r="L688" s="532"/>
      <c r="M688" s="532"/>
      <c r="N688" s="532"/>
      <c r="O688" s="522"/>
      <c r="P688" s="522"/>
      <c r="Q688" s="522"/>
      <c r="R688" s="522"/>
      <c r="S688" s="522"/>
      <c r="T688" s="522"/>
      <c r="U688" s="522"/>
      <c r="Y688" s="523"/>
    </row>
    <row r="689" spans="1:25" x14ac:dyDescent="0.2">
      <c r="A689" s="519"/>
      <c r="B689" s="519"/>
      <c r="C689" s="519"/>
      <c r="D689" s="519"/>
      <c r="E689" s="519"/>
      <c r="F689" s="530"/>
      <c r="G689" s="530"/>
      <c r="H689" s="530"/>
      <c r="I689" s="531"/>
      <c r="J689" s="532"/>
      <c r="K689" s="532"/>
      <c r="L689" s="532"/>
      <c r="M689" s="532"/>
      <c r="N689" s="532"/>
      <c r="O689" s="522"/>
      <c r="P689" s="522"/>
      <c r="Q689" s="522"/>
      <c r="R689" s="522"/>
      <c r="S689" s="522"/>
      <c r="T689" s="522"/>
      <c r="U689" s="522"/>
      <c r="Y689" s="523"/>
    </row>
    <row r="690" spans="1:25" x14ac:dyDescent="0.2">
      <c r="A690" s="519"/>
      <c r="B690" s="519"/>
      <c r="C690" s="519"/>
      <c r="D690" s="519"/>
      <c r="E690" s="519"/>
      <c r="F690" s="530"/>
      <c r="G690" s="530"/>
      <c r="H690" s="530"/>
      <c r="I690" s="531"/>
      <c r="J690" s="532"/>
      <c r="K690" s="532"/>
      <c r="L690" s="532"/>
      <c r="M690" s="532"/>
      <c r="N690" s="532"/>
      <c r="O690" s="522"/>
      <c r="P690" s="522"/>
      <c r="Q690" s="522"/>
      <c r="R690" s="522"/>
      <c r="S690" s="522"/>
      <c r="T690" s="522"/>
      <c r="U690" s="522"/>
      <c r="Y690" s="523"/>
    </row>
    <row r="691" spans="1:25" x14ac:dyDescent="0.2">
      <c r="A691" s="519"/>
      <c r="B691" s="519"/>
      <c r="C691" s="519"/>
      <c r="D691" s="519"/>
      <c r="E691" s="519"/>
      <c r="F691" s="530"/>
      <c r="G691" s="530"/>
      <c r="H691" s="530"/>
      <c r="I691" s="531"/>
      <c r="J691" s="532"/>
      <c r="K691" s="532"/>
      <c r="L691" s="532"/>
      <c r="M691" s="532"/>
      <c r="N691" s="532"/>
      <c r="O691" s="522"/>
      <c r="P691" s="522"/>
      <c r="Q691" s="522"/>
      <c r="R691" s="522"/>
      <c r="S691" s="522"/>
      <c r="T691" s="522"/>
      <c r="U691" s="522"/>
      <c r="Y691" s="523"/>
    </row>
    <row r="692" spans="1:25" x14ac:dyDescent="0.2">
      <c r="A692" s="519"/>
      <c r="B692" s="519"/>
      <c r="C692" s="519"/>
      <c r="D692" s="519"/>
      <c r="E692" s="519"/>
      <c r="F692" s="530"/>
      <c r="G692" s="530"/>
      <c r="H692" s="530"/>
      <c r="I692" s="531"/>
      <c r="J692" s="532"/>
      <c r="K692" s="532"/>
      <c r="L692" s="532"/>
      <c r="M692" s="532"/>
      <c r="N692" s="532"/>
      <c r="O692" s="522"/>
      <c r="P692" s="522"/>
      <c r="Q692" s="522"/>
      <c r="R692" s="522"/>
      <c r="S692" s="522"/>
      <c r="T692" s="522"/>
      <c r="U692" s="522"/>
      <c r="Y692" s="523"/>
    </row>
    <row r="693" spans="1:25" x14ac:dyDescent="0.2">
      <c r="A693" s="519"/>
      <c r="B693" s="519"/>
      <c r="C693" s="519"/>
      <c r="D693" s="519"/>
      <c r="E693" s="519"/>
      <c r="F693" s="530"/>
      <c r="G693" s="530"/>
      <c r="H693" s="530"/>
      <c r="I693" s="531"/>
      <c r="J693" s="532"/>
      <c r="K693" s="532"/>
      <c r="L693" s="532"/>
      <c r="M693" s="532"/>
      <c r="N693" s="532"/>
      <c r="O693" s="522"/>
      <c r="P693" s="522"/>
      <c r="Q693" s="522"/>
      <c r="R693" s="522"/>
      <c r="S693" s="522"/>
      <c r="T693" s="522"/>
      <c r="U693" s="522"/>
      <c r="Y693" s="523"/>
    </row>
    <row r="694" spans="1:25" x14ac:dyDescent="0.2">
      <c r="A694" s="519"/>
      <c r="B694" s="519"/>
      <c r="C694" s="519"/>
      <c r="D694" s="519"/>
      <c r="E694" s="519"/>
      <c r="F694" s="530"/>
      <c r="G694" s="530"/>
      <c r="H694" s="530"/>
      <c r="I694" s="531"/>
      <c r="J694" s="532"/>
      <c r="K694" s="532"/>
      <c r="L694" s="532"/>
      <c r="M694" s="532"/>
      <c r="N694" s="532"/>
      <c r="O694" s="522"/>
      <c r="P694" s="522"/>
      <c r="Q694" s="522"/>
      <c r="R694" s="522"/>
      <c r="S694" s="522"/>
      <c r="T694" s="522"/>
      <c r="U694" s="522"/>
      <c r="Y694" s="523"/>
    </row>
    <row r="695" spans="1:25" x14ac:dyDescent="0.2">
      <c r="A695" s="519"/>
      <c r="B695" s="519"/>
      <c r="C695" s="519"/>
      <c r="D695" s="519"/>
      <c r="E695" s="519"/>
      <c r="F695" s="530"/>
      <c r="G695" s="530"/>
      <c r="H695" s="530"/>
      <c r="I695" s="531"/>
      <c r="J695" s="532"/>
      <c r="K695" s="532"/>
      <c r="L695" s="532"/>
      <c r="M695" s="532"/>
      <c r="N695" s="532"/>
      <c r="O695" s="522"/>
      <c r="P695" s="522"/>
      <c r="Q695" s="522"/>
      <c r="R695" s="522"/>
      <c r="S695" s="522"/>
      <c r="T695" s="522"/>
      <c r="U695" s="522"/>
      <c r="Y695" s="523"/>
    </row>
    <row r="696" spans="1:25" x14ac:dyDescent="0.2">
      <c r="A696" s="519"/>
      <c r="B696" s="519"/>
      <c r="C696" s="519"/>
      <c r="D696" s="519"/>
      <c r="E696" s="519"/>
      <c r="F696" s="530"/>
      <c r="G696" s="530"/>
      <c r="H696" s="530"/>
      <c r="I696" s="531"/>
      <c r="J696" s="532"/>
      <c r="K696" s="532"/>
      <c r="L696" s="532"/>
      <c r="M696" s="532"/>
      <c r="N696" s="532"/>
      <c r="O696" s="522"/>
      <c r="P696" s="522"/>
      <c r="Q696" s="522"/>
      <c r="R696" s="522"/>
      <c r="S696" s="522"/>
      <c r="T696" s="522"/>
      <c r="U696" s="522"/>
      <c r="Y696" s="523"/>
    </row>
    <row r="697" spans="1:25" x14ac:dyDescent="0.2">
      <c r="A697" s="519"/>
      <c r="B697" s="519"/>
      <c r="C697" s="519"/>
      <c r="D697" s="519"/>
      <c r="E697" s="519"/>
      <c r="F697" s="530"/>
      <c r="G697" s="530"/>
      <c r="H697" s="530"/>
      <c r="I697" s="531"/>
      <c r="J697" s="532"/>
      <c r="K697" s="532"/>
      <c r="L697" s="532"/>
      <c r="M697" s="532"/>
      <c r="N697" s="532"/>
      <c r="O697" s="522"/>
      <c r="P697" s="522"/>
      <c r="Q697" s="522"/>
      <c r="R697" s="522"/>
      <c r="S697" s="522"/>
      <c r="T697" s="522"/>
      <c r="U697" s="522"/>
      <c r="Y697" s="523"/>
    </row>
    <row r="698" spans="1:25" x14ac:dyDescent="0.2">
      <c r="A698" s="519"/>
      <c r="B698" s="519"/>
      <c r="C698" s="519"/>
      <c r="D698" s="519"/>
      <c r="E698" s="519"/>
      <c r="F698" s="530"/>
      <c r="G698" s="530"/>
      <c r="H698" s="530"/>
      <c r="I698" s="531"/>
      <c r="J698" s="532"/>
      <c r="K698" s="532"/>
      <c r="L698" s="532"/>
      <c r="M698" s="532"/>
      <c r="N698" s="532"/>
      <c r="O698" s="522"/>
      <c r="P698" s="522"/>
      <c r="Q698" s="522"/>
      <c r="R698" s="522"/>
      <c r="S698" s="522"/>
      <c r="T698" s="522"/>
      <c r="U698" s="522"/>
      <c r="Y698" s="523"/>
    </row>
    <row r="699" spans="1:25" x14ac:dyDescent="0.2">
      <c r="A699" s="519"/>
      <c r="B699" s="519"/>
      <c r="C699" s="519"/>
      <c r="D699" s="519"/>
      <c r="E699" s="519"/>
      <c r="F699" s="530"/>
      <c r="G699" s="530"/>
      <c r="H699" s="530"/>
      <c r="I699" s="531"/>
      <c r="J699" s="532"/>
      <c r="K699" s="532"/>
      <c r="L699" s="532"/>
      <c r="M699" s="532"/>
      <c r="N699" s="532"/>
      <c r="O699" s="522"/>
      <c r="P699" s="522"/>
      <c r="Q699" s="522"/>
      <c r="R699" s="522"/>
      <c r="S699" s="522"/>
      <c r="T699" s="522"/>
      <c r="U699" s="522"/>
      <c r="Y699" s="523"/>
    </row>
    <row r="700" spans="1:25" x14ac:dyDescent="0.2">
      <c r="A700" s="519"/>
      <c r="B700" s="519"/>
      <c r="C700" s="519"/>
      <c r="D700" s="519"/>
      <c r="E700" s="519"/>
      <c r="F700" s="530"/>
      <c r="G700" s="530"/>
      <c r="H700" s="530"/>
      <c r="I700" s="531"/>
      <c r="J700" s="532"/>
      <c r="K700" s="532"/>
      <c r="L700" s="532"/>
      <c r="M700" s="532"/>
      <c r="N700" s="532"/>
      <c r="O700" s="522"/>
      <c r="P700" s="522"/>
      <c r="Q700" s="522"/>
      <c r="R700" s="522"/>
      <c r="S700" s="522"/>
      <c r="T700" s="522"/>
      <c r="U700" s="522"/>
      <c r="Y700" s="523"/>
    </row>
    <row r="701" spans="1:25" x14ac:dyDescent="0.2">
      <c r="A701" s="519"/>
      <c r="B701" s="519"/>
      <c r="C701" s="519"/>
      <c r="D701" s="519"/>
      <c r="E701" s="519"/>
      <c r="F701" s="530"/>
      <c r="G701" s="530"/>
      <c r="H701" s="530"/>
      <c r="I701" s="531"/>
      <c r="J701" s="532"/>
      <c r="K701" s="532"/>
      <c r="L701" s="532"/>
      <c r="M701" s="532"/>
      <c r="N701" s="532"/>
      <c r="O701" s="522"/>
      <c r="P701" s="522"/>
      <c r="Q701" s="522"/>
      <c r="R701" s="522"/>
      <c r="S701" s="522"/>
      <c r="T701" s="522"/>
      <c r="U701" s="522"/>
      <c r="Y701" s="523"/>
    </row>
    <row r="702" spans="1:25" x14ac:dyDescent="0.2">
      <c r="A702" s="519"/>
      <c r="B702" s="519"/>
      <c r="C702" s="519"/>
      <c r="D702" s="519"/>
      <c r="E702" s="519"/>
      <c r="F702" s="530"/>
      <c r="G702" s="530"/>
      <c r="H702" s="530"/>
      <c r="I702" s="531"/>
      <c r="J702" s="532"/>
      <c r="K702" s="532"/>
      <c r="L702" s="532"/>
      <c r="M702" s="532"/>
      <c r="N702" s="532"/>
      <c r="O702" s="522"/>
      <c r="P702" s="522"/>
      <c r="Q702" s="522"/>
      <c r="R702" s="522"/>
      <c r="S702" s="522"/>
      <c r="T702" s="522"/>
      <c r="U702" s="522"/>
      <c r="Y702" s="523"/>
    </row>
    <row r="703" spans="1:25" x14ac:dyDescent="0.2">
      <c r="A703" s="519"/>
      <c r="B703" s="519"/>
      <c r="C703" s="519"/>
      <c r="D703" s="519"/>
      <c r="E703" s="519"/>
      <c r="F703" s="530"/>
      <c r="G703" s="530"/>
      <c r="H703" s="530"/>
      <c r="I703" s="531"/>
      <c r="J703" s="532"/>
      <c r="K703" s="532"/>
      <c r="L703" s="532"/>
      <c r="M703" s="532"/>
      <c r="N703" s="532"/>
      <c r="O703" s="522"/>
      <c r="P703" s="522"/>
      <c r="Q703" s="522"/>
      <c r="R703" s="522"/>
      <c r="S703" s="522"/>
      <c r="T703" s="522"/>
      <c r="U703" s="522"/>
      <c r="Y703" s="523"/>
    </row>
    <row r="704" spans="1:25" x14ac:dyDescent="0.2">
      <c r="A704" s="519"/>
      <c r="B704" s="519"/>
      <c r="C704" s="519"/>
      <c r="D704" s="519"/>
      <c r="E704" s="519"/>
      <c r="F704" s="530"/>
      <c r="G704" s="530"/>
      <c r="H704" s="530"/>
      <c r="I704" s="531"/>
      <c r="J704" s="532"/>
      <c r="K704" s="532"/>
      <c r="L704" s="532"/>
      <c r="M704" s="532"/>
      <c r="N704" s="532"/>
      <c r="O704" s="522"/>
      <c r="P704" s="522"/>
      <c r="Q704" s="522"/>
      <c r="R704" s="522"/>
      <c r="S704" s="522"/>
      <c r="T704" s="522"/>
      <c r="U704" s="522"/>
      <c r="Y704" s="523"/>
    </row>
    <row r="705" spans="1:25" x14ac:dyDescent="0.2">
      <c r="A705" s="519"/>
      <c r="B705" s="519"/>
      <c r="C705" s="519"/>
      <c r="D705" s="519"/>
      <c r="E705" s="519"/>
      <c r="F705" s="530"/>
      <c r="G705" s="530"/>
      <c r="H705" s="530"/>
      <c r="I705" s="531"/>
      <c r="J705" s="532"/>
      <c r="K705" s="532"/>
      <c r="L705" s="532"/>
      <c r="M705" s="532"/>
      <c r="N705" s="532"/>
      <c r="O705" s="522"/>
      <c r="P705" s="522"/>
      <c r="Q705" s="522"/>
      <c r="R705" s="522"/>
      <c r="S705" s="522"/>
      <c r="T705" s="522"/>
      <c r="U705" s="522"/>
      <c r="Y705" s="523"/>
    </row>
    <row r="706" spans="1:25" x14ac:dyDescent="0.2">
      <c r="A706" s="519"/>
      <c r="B706" s="519"/>
      <c r="C706" s="519"/>
      <c r="D706" s="519"/>
      <c r="E706" s="519"/>
      <c r="F706" s="530"/>
      <c r="G706" s="530"/>
      <c r="H706" s="530"/>
      <c r="I706" s="531"/>
      <c r="J706" s="532"/>
      <c r="K706" s="532"/>
      <c r="L706" s="532"/>
      <c r="M706" s="532"/>
      <c r="N706" s="532"/>
      <c r="O706" s="522"/>
      <c r="P706" s="522"/>
      <c r="Q706" s="522"/>
      <c r="R706" s="522"/>
      <c r="S706" s="522"/>
      <c r="T706" s="522"/>
      <c r="U706" s="522"/>
      <c r="Y706" s="523"/>
    </row>
    <row r="707" spans="1:25" x14ac:dyDescent="0.2">
      <c r="A707" s="519"/>
      <c r="B707" s="519"/>
      <c r="C707" s="519"/>
      <c r="D707" s="519"/>
      <c r="E707" s="519"/>
      <c r="F707" s="530"/>
      <c r="G707" s="530"/>
      <c r="H707" s="530"/>
      <c r="I707" s="531"/>
      <c r="J707" s="532"/>
      <c r="K707" s="532"/>
      <c r="L707" s="532"/>
      <c r="M707" s="532"/>
      <c r="N707" s="532"/>
      <c r="O707" s="522"/>
      <c r="P707" s="522"/>
      <c r="Q707" s="522"/>
      <c r="R707" s="522"/>
      <c r="S707" s="522"/>
      <c r="T707" s="522"/>
      <c r="U707" s="522"/>
      <c r="Y707" s="523"/>
    </row>
    <row r="708" spans="1:25" x14ac:dyDescent="0.2">
      <c r="A708" s="519"/>
      <c r="B708" s="519"/>
      <c r="C708" s="519"/>
      <c r="D708" s="519"/>
      <c r="E708" s="519"/>
      <c r="F708" s="530"/>
      <c r="G708" s="530"/>
      <c r="H708" s="530"/>
      <c r="I708" s="531"/>
      <c r="J708" s="532"/>
      <c r="K708" s="532"/>
      <c r="L708" s="532"/>
      <c r="M708" s="532"/>
      <c r="N708" s="532"/>
      <c r="O708" s="522"/>
      <c r="P708" s="522"/>
      <c r="Q708" s="522"/>
      <c r="R708" s="522"/>
      <c r="S708" s="522"/>
      <c r="T708" s="522"/>
      <c r="U708" s="522"/>
      <c r="Y708" s="523"/>
    </row>
    <row r="709" spans="1:25" x14ac:dyDescent="0.2">
      <c r="A709" s="519"/>
      <c r="B709" s="519"/>
      <c r="C709" s="519"/>
      <c r="D709" s="519"/>
      <c r="E709" s="519"/>
      <c r="F709" s="530"/>
      <c r="G709" s="530"/>
      <c r="H709" s="530"/>
      <c r="I709" s="531"/>
      <c r="J709" s="532"/>
      <c r="K709" s="532"/>
      <c r="L709" s="532"/>
      <c r="M709" s="532"/>
      <c r="N709" s="532"/>
      <c r="O709" s="522"/>
      <c r="P709" s="522"/>
      <c r="Q709" s="522"/>
      <c r="R709" s="522"/>
      <c r="S709" s="522"/>
      <c r="T709" s="522"/>
      <c r="U709" s="522"/>
      <c r="Y709" s="523"/>
    </row>
    <row r="710" spans="1:25" x14ac:dyDescent="0.2">
      <c r="A710" s="519"/>
      <c r="B710" s="519"/>
      <c r="C710" s="519"/>
      <c r="D710" s="519"/>
      <c r="E710" s="519"/>
      <c r="F710" s="530"/>
      <c r="G710" s="530"/>
      <c r="H710" s="530"/>
      <c r="I710" s="531"/>
      <c r="J710" s="532"/>
      <c r="K710" s="532"/>
      <c r="L710" s="532"/>
      <c r="M710" s="532"/>
      <c r="N710" s="532"/>
      <c r="O710" s="522"/>
      <c r="P710" s="522"/>
      <c r="Q710" s="522"/>
      <c r="R710" s="522"/>
      <c r="S710" s="522"/>
      <c r="T710" s="522"/>
      <c r="U710" s="522"/>
      <c r="Y710" s="523"/>
    </row>
    <row r="711" spans="1:25" x14ac:dyDescent="0.2">
      <c r="A711" s="519"/>
      <c r="B711" s="519"/>
      <c r="C711" s="519"/>
      <c r="D711" s="519"/>
      <c r="E711" s="519"/>
      <c r="F711" s="530"/>
      <c r="G711" s="530"/>
      <c r="H711" s="530"/>
      <c r="I711" s="531"/>
      <c r="J711" s="532"/>
      <c r="K711" s="532"/>
      <c r="L711" s="532"/>
      <c r="M711" s="532"/>
      <c r="N711" s="532"/>
      <c r="O711" s="522"/>
      <c r="P711" s="522"/>
      <c r="Q711" s="522"/>
      <c r="R711" s="522"/>
      <c r="S711" s="522"/>
      <c r="T711" s="522"/>
      <c r="U711" s="522"/>
      <c r="Y711" s="523"/>
    </row>
    <row r="712" spans="1:25" x14ac:dyDescent="0.2">
      <c r="A712" s="519"/>
      <c r="B712" s="519"/>
      <c r="C712" s="519"/>
      <c r="D712" s="519"/>
      <c r="E712" s="519"/>
      <c r="F712" s="530"/>
      <c r="G712" s="530"/>
      <c r="H712" s="530"/>
      <c r="I712" s="531"/>
      <c r="J712" s="532"/>
      <c r="K712" s="532"/>
      <c r="L712" s="532"/>
      <c r="M712" s="532"/>
      <c r="N712" s="532"/>
      <c r="O712" s="522"/>
      <c r="P712" s="522"/>
      <c r="Q712" s="522"/>
      <c r="R712" s="522"/>
      <c r="S712" s="522"/>
      <c r="T712" s="522"/>
      <c r="U712" s="522"/>
      <c r="Y712" s="523"/>
    </row>
    <row r="713" spans="1:25" x14ac:dyDescent="0.2">
      <c r="A713" s="519"/>
      <c r="B713" s="519"/>
      <c r="C713" s="519"/>
      <c r="D713" s="519"/>
      <c r="E713" s="519"/>
      <c r="F713" s="530"/>
      <c r="G713" s="530"/>
      <c r="H713" s="530"/>
      <c r="I713" s="531"/>
      <c r="J713" s="532"/>
      <c r="K713" s="532"/>
      <c r="L713" s="532"/>
      <c r="M713" s="532"/>
      <c r="N713" s="532"/>
      <c r="O713" s="522"/>
      <c r="P713" s="522"/>
      <c r="Q713" s="522"/>
      <c r="R713" s="522"/>
      <c r="S713" s="522"/>
      <c r="T713" s="522"/>
      <c r="U713" s="522"/>
      <c r="Y713" s="523"/>
    </row>
    <row r="714" spans="1:25" x14ac:dyDescent="0.2">
      <c r="A714" s="519"/>
      <c r="B714" s="519"/>
      <c r="C714" s="519"/>
      <c r="D714" s="519"/>
      <c r="E714" s="519"/>
      <c r="F714" s="530"/>
      <c r="G714" s="530"/>
      <c r="H714" s="530"/>
      <c r="I714" s="531"/>
      <c r="J714" s="532"/>
      <c r="K714" s="532"/>
      <c r="L714" s="532"/>
      <c r="M714" s="532"/>
      <c r="N714" s="532"/>
      <c r="O714" s="522"/>
      <c r="P714" s="522"/>
      <c r="Q714" s="522"/>
      <c r="R714" s="522"/>
      <c r="S714" s="522"/>
      <c r="T714" s="522"/>
      <c r="U714" s="522"/>
      <c r="Y714" s="523"/>
    </row>
    <row r="715" spans="1:25" x14ac:dyDescent="0.2">
      <c r="A715" s="519"/>
      <c r="B715" s="519"/>
      <c r="C715" s="519"/>
      <c r="D715" s="519"/>
      <c r="E715" s="519"/>
      <c r="F715" s="530"/>
      <c r="G715" s="530"/>
      <c r="H715" s="530"/>
      <c r="I715" s="531"/>
      <c r="J715" s="532"/>
      <c r="K715" s="532"/>
      <c r="L715" s="532"/>
      <c r="M715" s="532"/>
      <c r="N715" s="532"/>
      <c r="O715" s="522"/>
      <c r="P715" s="522"/>
      <c r="Q715" s="522"/>
      <c r="R715" s="522"/>
      <c r="S715" s="522"/>
      <c r="T715" s="522"/>
      <c r="U715" s="522"/>
      <c r="Y715" s="523"/>
    </row>
    <row r="716" spans="1:25" x14ac:dyDescent="0.2">
      <c r="A716" s="519"/>
      <c r="B716" s="519"/>
      <c r="C716" s="519"/>
      <c r="D716" s="519"/>
      <c r="E716" s="519"/>
      <c r="F716" s="530"/>
      <c r="G716" s="530"/>
      <c r="H716" s="530"/>
      <c r="I716" s="531"/>
      <c r="J716" s="532"/>
      <c r="K716" s="532"/>
      <c r="L716" s="532"/>
      <c r="M716" s="532"/>
      <c r="N716" s="532"/>
      <c r="O716" s="522"/>
      <c r="P716" s="522"/>
      <c r="Q716" s="522"/>
      <c r="R716" s="522"/>
      <c r="S716" s="522"/>
      <c r="T716" s="522"/>
      <c r="U716" s="522"/>
      <c r="Y716" s="523"/>
    </row>
    <row r="717" spans="1:25" x14ac:dyDescent="0.2">
      <c r="A717" s="519"/>
      <c r="B717" s="519"/>
      <c r="C717" s="519"/>
      <c r="D717" s="519"/>
      <c r="E717" s="519"/>
      <c r="F717" s="530"/>
      <c r="G717" s="530"/>
      <c r="H717" s="530"/>
      <c r="I717" s="531"/>
      <c r="J717" s="532"/>
      <c r="K717" s="532"/>
      <c r="L717" s="532"/>
      <c r="M717" s="532"/>
      <c r="N717" s="532"/>
      <c r="O717" s="522"/>
      <c r="P717" s="522"/>
      <c r="Q717" s="522"/>
      <c r="R717" s="522"/>
      <c r="S717" s="522"/>
      <c r="T717" s="522"/>
      <c r="U717" s="522"/>
      <c r="Y717" s="523"/>
    </row>
    <row r="718" spans="1:25" x14ac:dyDescent="0.2">
      <c r="A718" s="519"/>
      <c r="B718" s="519"/>
      <c r="C718" s="519"/>
      <c r="D718" s="519"/>
      <c r="E718" s="519"/>
      <c r="F718" s="530"/>
      <c r="G718" s="530"/>
      <c r="H718" s="530"/>
      <c r="I718" s="531"/>
      <c r="J718" s="532"/>
      <c r="K718" s="532"/>
      <c r="L718" s="532"/>
      <c r="M718" s="532"/>
      <c r="N718" s="532"/>
      <c r="O718" s="522"/>
      <c r="P718" s="522"/>
      <c r="Q718" s="522"/>
      <c r="R718" s="522"/>
      <c r="S718" s="522"/>
      <c r="T718" s="522"/>
      <c r="U718" s="522"/>
      <c r="Y718" s="523"/>
    </row>
    <row r="719" spans="1:25" x14ac:dyDescent="0.2">
      <c r="A719" s="519"/>
      <c r="B719" s="519"/>
      <c r="C719" s="519"/>
      <c r="D719" s="519"/>
      <c r="E719" s="519"/>
      <c r="F719" s="530"/>
      <c r="G719" s="530"/>
      <c r="H719" s="530"/>
      <c r="I719" s="531"/>
      <c r="J719" s="532"/>
      <c r="K719" s="532"/>
      <c r="L719" s="532"/>
      <c r="M719" s="532"/>
      <c r="N719" s="532"/>
      <c r="O719" s="522"/>
      <c r="P719" s="522"/>
      <c r="Q719" s="522"/>
      <c r="R719" s="522"/>
      <c r="S719" s="522"/>
      <c r="T719" s="522"/>
      <c r="U719" s="522"/>
      <c r="Y719" s="523"/>
    </row>
    <row r="720" spans="1:25" x14ac:dyDescent="0.2">
      <c r="A720" s="519"/>
      <c r="B720" s="519"/>
      <c r="C720" s="519"/>
      <c r="D720" s="519"/>
      <c r="E720" s="519"/>
      <c r="F720" s="530"/>
      <c r="G720" s="530"/>
      <c r="H720" s="530"/>
      <c r="I720" s="531"/>
      <c r="J720" s="532"/>
      <c r="K720" s="532"/>
      <c r="L720" s="532"/>
      <c r="M720" s="532"/>
      <c r="N720" s="532"/>
      <c r="O720" s="522"/>
      <c r="P720" s="522"/>
      <c r="Q720" s="522"/>
      <c r="R720" s="522"/>
      <c r="S720" s="522"/>
      <c r="T720" s="522"/>
      <c r="U720" s="522"/>
      <c r="Y720" s="523"/>
    </row>
    <row r="721" spans="1:25" x14ac:dyDescent="0.2">
      <c r="A721" s="519"/>
      <c r="B721" s="519"/>
      <c r="C721" s="519"/>
      <c r="D721" s="519"/>
      <c r="E721" s="519"/>
      <c r="F721" s="530"/>
      <c r="G721" s="530"/>
      <c r="H721" s="530"/>
      <c r="I721" s="531"/>
      <c r="J721" s="532"/>
      <c r="K721" s="532"/>
      <c r="L721" s="532"/>
      <c r="M721" s="532"/>
      <c r="N721" s="532"/>
      <c r="O721" s="522"/>
      <c r="P721" s="522"/>
      <c r="Q721" s="522"/>
      <c r="R721" s="522"/>
      <c r="S721" s="522"/>
      <c r="T721" s="522"/>
      <c r="U721" s="522"/>
      <c r="Y721" s="523"/>
    </row>
    <row r="722" spans="1:25" x14ac:dyDescent="0.2">
      <c r="A722" s="519"/>
      <c r="B722" s="519"/>
      <c r="C722" s="519"/>
      <c r="D722" s="519"/>
      <c r="E722" s="519"/>
      <c r="F722" s="530"/>
      <c r="G722" s="530"/>
      <c r="H722" s="530"/>
      <c r="I722" s="531"/>
      <c r="J722" s="532"/>
      <c r="K722" s="532"/>
      <c r="L722" s="532"/>
      <c r="M722" s="532"/>
      <c r="N722" s="532"/>
      <c r="O722" s="522"/>
      <c r="P722" s="522"/>
      <c r="Q722" s="522"/>
      <c r="R722" s="522"/>
      <c r="S722" s="522"/>
      <c r="T722" s="522"/>
      <c r="U722" s="522"/>
      <c r="Y722" s="523"/>
    </row>
    <row r="723" spans="1:25" x14ac:dyDescent="0.2">
      <c r="A723" s="519"/>
      <c r="B723" s="519"/>
      <c r="C723" s="519"/>
      <c r="D723" s="519"/>
      <c r="E723" s="519"/>
      <c r="F723" s="530"/>
      <c r="G723" s="530"/>
      <c r="H723" s="530"/>
      <c r="I723" s="531"/>
      <c r="J723" s="532"/>
      <c r="K723" s="532"/>
      <c r="L723" s="532"/>
      <c r="M723" s="532"/>
      <c r="N723" s="532"/>
      <c r="O723" s="522"/>
      <c r="P723" s="522"/>
      <c r="Q723" s="522"/>
      <c r="R723" s="522"/>
      <c r="S723" s="522"/>
      <c r="T723" s="522"/>
      <c r="U723" s="522"/>
      <c r="Y723" s="523"/>
    </row>
    <row r="724" spans="1:25" x14ac:dyDescent="0.2">
      <c r="A724" s="519"/>
      <c r="B724" s="519"/>
      <c r="C724" s="519"/>
      <c r="D724" s="519"/>
      <c r="E724" s="519"/>
      <c r="F724" s="530"/>
      <c r="G724" s="530"/>
      <c r="H724" s="530"/>
      <c r="I724" s="531"/>
      <c r="J724" s="532"/>
      <c r="K724" s="532"/>
      <c r="L724" s="532"/>
      <c r="M724" s="532"/>
      <c r="N724" s="532"/>
      <c r="O724" s="522"/>
      <c r="P724" s="522"/>
      <c r="Q724" s="522"/>
      <c r="R724" s="522"/>
      <c r="S724" s="522"/>
      <c r="T724" s="522"/>
      <c r="U724" s="522"/>
      <c r="Y724" s="523"/>
    </row>
    <row r="725" spans="1:25" x14ac:dyDescent="0.2">
      <c r="A725" s="519"/>
      <c r="B725" s="519"/>
      <c r="C725" s="519"/>
      <c r="D725" s="519"/>
      <c r="E725" s="519"/>
      <c r="F725" s="530"/>
      <c r="G725" s="530"/>
      <c r="H725" s="530"/>
      <c r="I725" s="531"/>
      <c r="J725" s="532"/>
      <c r="K725" s="532"/>
      <c r="L725" s="532"/>
      <c r="M725" s="532"/>
      <c r="N725" s="532"/>
      <c r="O725" s="522"/>
      <c r="P725" s="522"/>
      <c r="Q725" s="522"/>
      <c r="R725" s="522"/>
      <c r="S725" s="522"/>
      <c r="T725" s="522"/>
      <c r="U725" s="522"/>
      <c r="Y725" s="523"/>
    </row>
    <row r="726" spans="1:25" x14ac:dyDescent="0.2">
      <c r="A726" s="519"/>
      <c r="B726" s="519"/>
      <c r="C726" s="519"/>
      <c r="D726" s="519"/>
      <c r="E726" s="519"/>
      <c r="F726" s="530"/>
      <c r="G726" s="530"/>
      <c r="H726" s="530"/>
      <c r="I726" s="531"/>
      <c r="J726" s="532"/>
      <c r="K726" s="532"/>
      <c r="L726" s="532"/>
      <c r="M726" s="532"/>
      <c r="N726" s="532"/>
      <c r="O726" s="522"/>
      <c r="P726" s="522"/>
      <c r="Q726" s="522"/>
      <c r="R726" s="522"/>
      <c r="S726" s="522"/>
      <c r="T726" s="522"/>
      <c r="U726" s="522"/>
      <c r="Y726" s="523"/>
    </row>
    <row r="727" spans="1:25" x14ac:dyDescent="0.2">
      <c r="A727" s="519"/>
      <c r="B727" s="519"/>
      <c r="C727" s="519"/>
      <c r="D727" s="519"/>
      <c r="E727" s="519"/>
      <c r="F727" s="530"/>
      <c r="G727" s="530"/>
      <c r="H727" s="530"/>
      <c r="I727" s="531"/>
      <c r="J727" s="532"/>
      <c r="K727" s="532"/>
      <c r="L727" s="532"/>
      <c r="M727" s="532"/>
      <c r="N727" s="532"/>
      <c r="O727" s="522"/>
      <c r="P727" s="522"/>
      <c r="Q727" s="522"/>
      <c r="R727" s="522"/>
      <c r="S727" s="522"/>
      <c r="T727" s="522"/>
      <c r="U727" s="522"/>
      <c r="Y727" s="523"/>
    </row>
    <row r="728" spans="1:25" x14ac:dyDescent="0.2">
      <c r="A728" s="519"/>
      <c r="B728" s="519"/>
      <c r="C728" s="519"/>
      <c r="D728" s="519"/>
      <c r="E728" s="519"/>
      <c r="F728" s="530"/>
      <c r="G728" s="530"/>
      <c r="H728" s="530"/>
      <c r="I728" s="531"/>
      <c r="J728" s="532"/>
      <c r="K728" s="532"/>
      <c r="L728" s="532"/>
      <c r="M728" s="532"/>
      <c r="N728" s="532"/>
      <c r="O728" s="522"/>
      <c r="P728" s="522"/>
      <c r="Q728" s="522"/>
      <c r="R728" s="522"/>
      <c r="S728" s="522"/>
      <c r="T728" s="522"/>
      <c r="U728" s="522"/>
      <c r="Y728" s="523"/>
    </row>
    <row r="729" spans="1:25" x14ac:dyDescent="0.2">
      <c r="A729" s="519"/>
      <c r="B729" s="519"/>
      <c r="C729" s="519"/>
      <c r="D729" s="519"/>
      <c r="E729" s="519"/>
      <c r="F729" s="530"/>
      <c r="G729" s="530"/>
      <c r="H729" s="530"/>
      <c r="I729" s="531"/>
      <c r="J729" s="532"/>
      <c r="K729" s="532"/>
      <c r="L729" s="532"/>
      <c r="M729" s="532"/>
      <c r="N729" s="532"/>
      <c r="O729" s="522"/>
      <c r="P729" s="522"/>
      <c r="Q729" s="522"/>
      <c r="R729" s="522"/>
      <c r="S729" s="522"/>
      <c r="T729" s="522"/>
      <c r="U729" s="522"/>
      <c r="Y729" s="523"/>
    </row>
    <row r="730" spans="1:25" x14ac:dyDescent="0.2">
      <c r="A730" s="519"/>
      <c r="B730" s="519"/>
      <c r="C730" s="519"/>
      <c r="D730" s="519"/>
      <c r="E730" s="519"/>
      <c r="F730" s="530"/>
      <c r="G730" s="530"/>
      <c r="H730" s="530"/>
      <c r="I730" s="531"/>
      <c r="J730" s="532"/>
      <c r="K730" s="532"/>
      <c r="L730" s="532"/>
      <c r="M730" s="532"/>
      <c r="N730" s="532"/>
      <c r="O730" s="522"/>
      <c r="P730" s="522"/>
      <c r="Q730" s="522"/>
      <c r="R730" s="522"/>
      <c r="S730" s="522"/>
      <c r="T730" s="522"/>
      <c r="U730" s="522"/>
      <c r="Y730" s="523"/>
    </row>
    <row r="731" spans="1:25" x14ac:dyDescent="0.2">
      <c r="A731" s="519"/>
      <c r="B731" s="519"/>
      <c r="C731" s="519"/>
      <c r="D731" s="519"/>
      <c r="E731" s="519"/>
      <c r="F731" s="530"/>
      <c r="G731" s="530"/>
      <c r="H731" s="530"/>
      <c r="I731" s="531"/>
      <c r="J731" s="532"/>
      <c r="K731" s="532"/>
      <c r="L731" s="532"/>
      <c r="M731" s="532"/>
      <c r="N731" s="532"/>
      <c r="O731" s="522"/>
      <c r="P731" s="522"/>
      <c r="Q731" s="522"/>
      <c r="R731" s="522"/>
      <c r="S731" s="522"/>
      <c r="T731" s="522"/>
      <c r="U731" s="522"/>
      <c r="Y731" s="523"/>
    </row>
    <row r="732" spans="1:25" x14ac:dyDescent="0.2">
      <c r="A732" s="519"/>
      <c r="B732" s="519"/>
      <c r="C732" s="519"/>
      <c r="D732" s="519"/>
      <c r="E732" s="519"/>
      <c r="F732" s="530"/>
      <c r="G732" s="530"/>
      <c r="H732" s="530"/>
      <c r="I732" s="531"/>
      <c r="J732" s="532"/>
      <c r="K732" s="532"/>
      <c r="L732" s="532"/>
      <c r="M732" s="532"/>
      <c r="N732" s="532"/>
      <c r="O732" s="522"/>
      <c r="P732" s="522"/>
      <c r="Q732" s="522"/>
      <c r="R732" s="522"/>
      <c r="S732" s="522"/>
      <c r="T732" s="522"/>
      <c r="U732" s="522"/>
      <c r="Y732" s="523"/>
    </row>
    <row r="733" spans="1:25" x14ac:dyDescent="0.2">
      <c r="A733" s="519"/>
      <c r="B733" s="519"/>
      <c r="C733" s="519"/>
      <c r="D733" s="519"/>
      <c r="E733" s="519"/>
      <c r="F733" s="530"/>
      <c r="G733" s="530"/>
      <c r="H733" s="530"/>
      <c r="I733" s="531"/>
      <c r="J733" s="532"/>
      <c r="K733" s="532"/>
      <c r="L733" s="532"/>
      <c r="M733" s="532"/>
      <c r="N733" s="532"/>
      <c r="O733" s="522"/>
      <c r="P733" s="522"/>
      <c r="Q733" s="522"/>
      <c r="R733" s="522"/>
      <c r="S733" s="522"/>
      <c r="T733" s="522"/>
      <c r="U733" s="522"/>
      <c r="Y733" s="523"/>
    </row>
    <row r="734" spans="1:25" x14ac:dyDescent="0.2">
      <c r="A734" s="519"/>
      <c r="B734" s="519"/>
      <c r="C734" s="519"/>
      <c r="D734" s="519"/>
      <c r="E734" s="519"/>
      <c r="F734" s="530"/>
      <c r="G734" s="530"/>
      <c r="H734" s="530"/>
      <c r="I734" s="531"/>
      <c r="J734" s="532"/>
      <c r="K734" s="532"/>
      <c r="L734" s="532"/>
      <c r="M734" s="532"/>
      <c r="N734" s="532"/>
      <c r="O734" s="522"/>
      <c r="P734" s="522"/>
      <c r="Q734" s="522"/>
      <c r="R734" s="522"/>
      <c r="S734" s="522"/>
      <c r="T734" s="522"/>
      <c r="U734" s="522"/>
      <c r="Y734" s="523"/>
    </row>
    <row r="735" spans="1:25" x14ac:dyDescent="0.2">
      <c r="A735" s="519"/>
      <c r="B735" s="519"/>
      <c r="C735" s="519"/>
      <c r="D735" s="519"/>
      <c r="E735" s="519"/>
      <c r="F735" s="530"/>
      <c r="G735" s="530"/>
      <c r="H735" s="530"/>
      <c r="I735" s="531"/>
      <c r="J735" s="532"/>
      <c r="K735" s="532"/>
      <c r="L735" s="532"/>
      <c r="M735" s="532"/>
      <c r="N735" s="532"/>
      <c r="O735" s="522"/>
      <c r="P735" s="522"/>
      <c r="Q735" s="522"/>
      <c r="R735" s="522"/>
      <c r="S735" s="522"/>
      <c r="T735" s="522"/>
      <c r="U735" s="522"/>
      <c r="Y735" s="523"/>
    </row>
    <row r="736" spans="1:25" x14ac:dyDescent="0.2">
      <c r="A736" s="519"/>
      <c r="B736" s="519"/>
      <c r="C736" s="519"/>
      <c r="D736" s="519"/>
      <c r="E736" s="519"/>
      <c r="F736" s="530"/>
      <c r="G736" s="530"/>
      <c r="H736" s="530"/>
      <c r="I736" s="531"/>
      <c r="J736" s="532"/>
      <c r="K736" s="532"/>
      <c r="L736" s="532"/>
      <c r="M736" s="532"/>
      <c r="N736" s="532"/>
      <c r="O736" s="522"/>
      <c r="P736" s="522"/>
      <c r="Q736" s="522"/>
      <c r="R736" s="522"/>
      <c r="S736" s="522"/>
      <c r="T736" s="522"/>
      <c r="U736" s="522"/>
      <c r="Y736" s="523"/>
    </row>
    <row r="737" spans="1:25" x14ac:dyDescent="0.2">
      <c r="A737" s="519"/>
      <c r="B737" s="519"/>
      <c r="C737" s="519"/>
      <c r="D737" s="519"/>
      <c r="E737" s="519"/>
      <c r="F737" s="530"/>
      <c r="G737" s="530"/>
      <c r="H737" s="530"/>
      <c r="I737" s="531"/>
      <c r="J737" s="532"/>
      <c r="K737" s="532"/>
      <c r="L737" s="532"/>
      <c r="M737" s="532"/>
      <c r="N737" s="532"/>
      <c r="O737" s="522"/>
      <c r="P737" s="522"/>
      <c r="Q737" s="522"/>
      <c r="R737" s="522"/>
      <c r="S737" s="522"/>
      <c r="T737" s="522"/>
      <c r="U737" s="522"/>
      <c r="Y737" s="523"/>
    </row>
    <row r="738" spans="1:25" x14ac:dyDescent="0.2">
      <c r="A738" s="519"/>
      <c r="B738" s="519"/>
      <c r="C738" s="519"/>
      <c r="D738" s="519"/>
      <c r="E738" s="519"/>
      <c r="F738" s="530"/>
      <c r="G738" s="530"/>
      <c r="H738" s="530"/>
      <c r="I738" s="531"/>
      <c r="J738" s="532"/>
      <c r="K738" s="532"/>
      <c r="L738" s="532"/>
      <c r="M738" s="532"/>
      <c r="N738" s="532"/>
      <c r="O738" s="522"/>
      <c r="P738" s="522"/>
      <c r="Q738" s="522"/>
      <c r="R738" s="522"/>
      <c r="S738" s="522"/>
      <c r="T738" s="522"/>
      <c r="U738" s="522"/>
      <c r="Y738" s="523"/>
    </row>
    <row r="739" spans="1:25" x14ac:dyDescent="0.2">
      <c r="A739" s="519"/>
      <c r="B739" s="519"/>
      <c r="C739" s="519"/>
      <c r="D739" s="519"/>
      <c r="E739" s="519"/>
      <c r="F739" s="530"/>
      <c r="G739" s="530"/>
      <c r="H739" s="530"/>
      <c r="I739" s="531"/>
      <c r="J739" s="532"/>
      <c r="K739" s="532"/>
      <c r="L739" s="532"/>
      <c r="M739" s="532"/>
      <c r="N739" s="532"/>
      <c r="O739" s="522"/>
      <c r="P739" s="522"/>
      <c r="Q739" s="522"/>
      <c r="R739" s="522"/>
      <c r="S739" s="522"/>
      <c r="T739" s="522"/>
      <c r="U739" s="522"/>
      <c r="Y739" s="523"/>
    </row>
    <row r="740" spans="1:25" x14ac:dyDescent="0.2">
      <c r="A740" s="519"/>
      <c r="B740" s="519"/>
      <c r="C740" s="519"/>
      <c r="D740" s="519"/>
      <c r="E740" s="519"/>
      <c r="F740" s="530"/>
      <c r="G740" s="530"/>
      <c r="H740" s="530"/>
      <c r="I740" s="531"/>
      <c r="J740" s="532"/>
      <c r="K740" s="532"/>
      <c r="L740" s="532"/>
      <c r="M740" s="532"/>
      <c r="N740" s="532"/>
      <c r="O740" s="522"/>
      <c r="P740" s="522"/>
      <c r="Q740" s="522"/>
      <c r="R740" s="522"/>
      <c r="S740" s="522"/>
      <c r="T740" s="522"/>
      <c r="U740" s="522"/>
      <c r="Y740" s="523"/>
    </row>
    <row r="741" spans="1:25" x14ac:dyDescent="0.2">
      <c r="A741" s="519"/>
      <c r="B741" s="519"/>
      <c r="C741" s="519"/>
      <c r="D741" s="519"/>
      <c r="E741" s="519"/>
      <c r="F741" s="530"/>
      <c r="G741" s="530"/>
      <c r="H741" s="530"/>
      <c r="I741" s="531"/>
      <c r="J741" s="532"/>
      <c r="K741" s="532"/>
      <c r="L741" s="532"/>
      <c r="M741" s="532"/>
      <c r="N741" s="532"/>
      <c r="O741" s="522"/>
      <c r="P741" s="522"/>
      <c r="Q741" s="522"/>
      <c r="R741" s="522"/>
      <c r="S741" s="522"/>
      <c r="T741" s="522"/>
      <c r="U741" s="522"/>
      <c r="Y741" s="523"/>
    </row>
    <row r="742" spans="1:25" x14ac:dyDescent="0.2">
      <c r="A742" s="519"/>
      <c r="B742" s="519"/>
      <c r="C742" s="519"/>
      <c r="D742" s="519"/>
      <c r="E742" s="519"/>
      <c r="F742" s="530"/>
      <c r="G742" s="530"/>
      <c r="H742" s="530"/>
      <c r="I742" s="531"/>
      <c r="J742" s="532"/>
      <c r="K742" s="532"/>
      <c r="L742" s="532"/>
      <c r="M742" s="532"/>
      <c r="N742" s="532"/>
      <c r="O742" s="522"/>
      <c r="P742" s="522"/>
      <c r="Q742" s="522"/>
      <c r="R742" s="522"/>
      <c r="S742" s="522"/>
      <c r="T742" s="522"/>
      <c r="U742" s="522"/>
      <c r="Y742" s="523"/>
    </row>
    <row r="743" spans="1:25" x14ac:dyDescent="0.2">
      <c r="A743" s="519"/>
      <c r="B743" s="519"/>
      <c r="C743" s="519"/>
      <c r="D743" s="519"/>
      <c r="E743" s="519"/>
      <c r="F743" s="530"/>
      <c r="G743" s="530"/>
      <c r="H743" s="530"/>
      <c r="I743" s="531"/>
      <c r="J743" s="532"/>
      <c r="K743" s="532"/>
      <c r="L743" s="532"/>
      <c r="M743" s="532"/>
      <c r="N743" s="532"/>
      <c r="O743" s="522"/>
      <c r="P743" s="522"/>
      <c r="Q743" s="522"/>
      <c r="R743" s="522"/>
      <c r="S743" s="522"/>
      <c r="T743" s="522"/>
      <c r="U743" s="522"/>
      <c r="Y743" s="523"/>
    </row>
    <row r="744" spans="1:25" x14ac:dyDescent="0.2">
      <c r="A744" s="519"/>
      <c r="B744" s="519"/>
      <c r="C744" s="519"/>
      <c r="D744" s="519"/>
      <c r="E744" s="519"/>
      <c r="F744" s="530"/>
      <c r="G744" s="530"/>
      <c r="H744" s="530"/>
      <c r="I744" s="531"/>
      <c r="J744" s="532"/>
      <c r="K744" s="532"/>
      <c r="L744" s="532"/>
      <c r="M744" s="532"/>
      <c r="N744" s="532"/>
      <c r="O744" s="522"/>
      <c r="P744" s="522"/>
      <c r="Q744" s="522"/>
      <c r="R744" s="522"/>
      <c r="S744" s="522"/>
      <c r="T744" s="522"/>
      <c r="U744" s="522"/>
      <c r="Y744" s="523"/>
    </row>
    <row r="745" spans="1:25" x14ac:dyDescent="0.2">
      <c r="A745" s="519"/>
      <c r="B745" s="519"/>
      <c r="C745" s="519"/>
      <c r="D745" s="519"/>
      <c r="E745" s="519"/>
      <c r="F745" s="530"/>
      <c r="G745" s="530"/>
      <c r="H745" s="530"/>
      <c r="I745" s="531"/>
      <c r="J745" s="532"/>
      <c r="K745" s="532"/>
      <c r="L745" s="532"/>
      <c r="M745" s="532"/>
      <c r="N745" s="532"/>
      <c r="O745" s="522"/>
      <c r="P745" s="522"/>
      <c r="Q745" s="522"/>
      <c r="R745" s="522"/>
      <c r="S745" s="522"/>
      <c r="T745" s="522"/>
      <c r="U745" s="522"/>
      <c r="Y745" s="523"/>
    </row>
    <row r="746" spans="1:25" x14ac:dyDescent="0.2">
      <c r="A746" s="519"/>
      <c r="B746" s="519"/>
      <c r="C746" s="519"/>
      <c r="D746" s="519"/>
      <c r="E746" s="519"/>
      <c r="F746" s="530"/>
      <c r="G746" s="530"/>
      <c r="H746" s="530"/>
      <c r="I746" s="531"/>
      <c r="J746" s="532"/>
      <c r="K746" s="532"/>
      <c r="L746" s="532"/>
      <c r="M746" s="532"/>
      <c r="N746" s="532"/>
      <c r="O746" s="522"/>
      <c r="P746" s="522"/>
      <c r="Q746" s="522"/>
      <c r="R746" s="522"/>
      <c r="S746" s="522"/>
      <c r="T746" s="522"/>
      <c r="U746" s="522"/>
      <c r="Y746" s="523"/>
    </row>
    <row r="747" spans="1:25" x14ac:dyDescent="0.2">
      <c r="A747" s="519"/>
      <c r="B747" s="519"/>
      <c r="C747" s="519"/>
      <c r="D747" s="519"/>
      <c r="E747" s="519"/>
      <c r="F747" s="530"/>
      <c r="G747" s="530"/>
      <c r="H747" s="530"/>
      <c r="I747" s="531"/>
      <c r="J747" s="532"/>
      <c r="K747" s="532"/>
      <c r="L747" s="532"/>
      <c r="M747" s="532"/>
      <c r="N747" s="532"/>
      <c r="O747" s="522"/>
      <c r="P747" s="522"/>
      <c r="Q747" s="522"/>
      <c r="R747" s="522"/>
      <c r="S747" s="522"/>
      <c r="T747" s="522"/>
      <c r="U747" s="522"/>
      <c r="Y747" s="523"/>
    </row>
    <row r="748" spans="1:25" x14ac:dyDescent="0.2">
      <c r="A748" s="519"/>
      <c r="B748" s="519"/>
      <c r="C748" s="519"/>
      <c r="D748" s="519"/>
      <c r="E748" s="519"/>
      <c r="F748" s="530"/>
      <c r="G748" s="530"/>
      <c r="H748" s="530"/>
      <c r="I748" s="531"/>
      <c r="J748" s="532"/>
      <c r="K748" s="532"/>
      <c r="L748" s="532"/>
      <c r="M748" s="532"/>
      <c r="N748" s="532"/>
      <c r="O748" s="522"/>
      <c r="P748" s="522"/>
      <c r="Q748" s="522"/>
      <c r="R748" s="522"/>
      <c r="S748" s="522"/>
      <c r="T748" s="522"/>
      <c r="U748" s="522"/>
      <c r="Y748" s="523"/>
    </row>
    <row r="749" spans="1:25" x14ac:dyDescent="0.2">
      <c r="A749" s="519"/>
      <c r="B749" s="519"/>
      <c r="C749" s="519"/>
      <c r="D749" s="519"/>
      <c r="E749" s="519"/>
      <c r="F749" s="530"/>
      <c r="G749" s="530"/>
      <c r="H749" s="530"/>
      <c r="I749" s="531"/>
      <c r="J749" s="532"/>
      <c r="K749" s="532"/>
      <c r="L749" s="532"/>
      <c r="M749" s="532"/>
      <c r="N749" s="532"/>
      <c r="O749" s="522"/>
      <c r="P749" s="522"/>
      <c r="Q749" s="522"/>
      <c r="R749" s="522"/>
      <c r="S749" s="522"/>
      <c r="T749" s="522"/>
      <c r="U749" s="522"/>
      <c r="Y749" s="523"/>
    </row>
    <row r="750" spans="1:25" x14ac:dyDescent="0.2">
      <c r="A750" s="519"/>
      <c r="B750" s="519"/>
      <c r="C750" s="519"/>
      <c r="D750" s="519"/>
      <c r="E750" s="519"/>
      <c r="F750" s="530"/>
      <c r="G750" s="530"/>
      <c r="H750" s="530"/>
      <c r="I750" s="531"/>
      <c r="J750" s="532"/>
      <c r="K750" s="532"/>
      <c r="L750" s="532"/>
      <c r="M750" s="532"/>
      <c r="N750" s="532"/>
      <c r="O750" s="522"/>
      <c r="P750" s="522"/>
      <c r="Q750" s="522"/>
      <c r="R750" s="522"/>
      <c r="S750" s="522"/>
      <c r="T750" s="522"/>
      <c r="U750" s="522"/>
      <c r="Y750" s="523"/>
    </row>
    <row r="751" spans="1:25" x14ac:dyDescent="0.2">
      <c r="A751" s="519"/>
      <c r="B751" s="519"/>
      <c r="C751" s="519"/>
      <c r="D751" s="519"/>
      <c r="E751" s="519"/>
      <c r="F751" s="530"/>
      <c r="G751" s="530"/>
      <c r="H751" s="530"/>
      <c r="I751" s="531"/>
      <c r="J751" s="532"/>
      <c r="K751" s="532"/>
      <c r="L751" s="532"/>
      <c r="M751" s="532"/>
      <c r="N751" s="532"/>
      <c r="O751" s="522"/>
      <c r="P751" s="522"/>
      <c r="Q751" s="522"/>
      <c r="R751" s="522"/>
      <c r="S751" s="522"/>
      <c r="T751" s="522"/>
      <c r="U751" s="522"/>
      <c r="Y751" s="523"/>
    </row>
    <row r="752" spans="1:25" x14ac:dyDescent="0.2">
      <c r="A752" s="519"/>
      <c r="B752" s="519"/>
      <c r="C752" s="519"/>
      <c r="D752" s="519"/>
      <c r="E752" s="519"/>
      <c r="F752" s="530"/>
      <c r="G752" s="530"/>
      <c r="H752" s="530"/>
      <c r="I752" s="531"/>
      <c r="J752" s="532"/>
      <c r="K752" s="532"/>
      <c r="L752" s="532"/>
      <c r="M752" s="532"/>
      <c r="N752" s="532"/>
      <c r="O752" s="522"/>
      <c r="P752" s="522"/>
      <c r="Q752" s="522"/>
      <c r="R752" s="522"/>
      <c r="S752" s="522"/>
      <c r="T752" s="522"/>
      <c r="U752" s="522"/>
      <c r="Y752" s="523"/>
    </row>
    <row r="753" spans="1:25" x14ac:dyDescent="0.2">
      <c r="A753" s="519"/>
      <c r="B753" s="519"/>
      <c r="C753" s="519"/>
      <c r="D753" s="519"/>
      <c r="E753" s="519"/>
      <c r="F753" s="530"/>
      <c r="G753" s="530"/>
      <c r="H753" s="530"/>
      <c r="I753" s="531"/>
      <c r="J753" s="532"/>
      <c r="K753" s="532"/>
      <c r="L753" s="532"/>
      <c r="M753" s="532"/>
      <c r="N753" s="532"/>
      <c r="O753" s="522"/>
      <c r="P753" s="522"/>
      <c r="Q753" s="522"/>
      <c r="R753" s="522"/>
      <c r="S753" s="522"/>
      <c r="T753" s="522"/>
      <c r="U753" s="522"/>
      <c r="Y753" s="523"/>
    </row>
    <row r="754" spans="1:25" x14ac:dyDescent="0.2">
      <c r="A754" s="519"/>
      <c r="B754" s="519"/>
      <c r="C754" s="519"/>
      <c r="D754" s="519"/>
      <c r="E754" s="519"/>
      <c r="F754" s="530"/>
      <c r="G754" s="530"/>
      <c r="H754" s="530"/>
      <c r="I754" s="531"/>
      <c r="J754" s="532"/>
      <c r="K754" s="532"/>
      <c r="L754" s="532"/>
      <c r="M754" s="532"/>
      <c r="N754" s="532"/>
      <c r="O754" s="522"/>
      <c r="P754" s="522"/>
      <c r="Q754" s="522"/>
      <c r="R754" s="522"/>
      <c r="S754" s="522"/>
      <c r="T754" s="522"/>
      <c r="U754" s="522"/>
      <c r="Y754" s="523"/>
    </row>
    <row r="755" spans="1:25" x14ac:dyDescent="0.2">
      <c r="A755" s="519"/>
      <c r="B755" s="519"/>
      <c r="C755" s="519"/>
      <c r="D755" s="519"/>
      <c r="E755" s="519"/>
      <c r="F755" s="530"/>
      <c r="G755" s="530"/>
      <c r="H755" s="530"/>
      <c r="I755" s="531"/>
      <c r="J755" s="532"/>
      <c r="K755" s="532"/>
      <c r="L755" s="532"/>
      <c r="M755" s="532"/>
      <c r="N755" s="532"/>
      <c r="O755" s="522"/>
      <c r="P755" s="522"/>
      <c r="Q755" s="522"/>
      <c r="R755" s="522"/>
      <c r="S755" s="522"/>
      <c r="T755" s="522"/>
      <c r="U755" s="522"/>
      <c r="Y755" s="523"/>
    </row>
    <row r="756" spans="1:25" x14ac:dyDescent="0.2">
      <c r="A756" s="519"/>
      <c r="B756" s="519"/>
      <c r="C756" s="519"/>
      <c r="D756" s="519"/>
      <c r="E756" s="519"/>
      <c r="F756" s="530"/>
      <c r="G756" s="530"/>
      <c r="H756" s="530"/>
      <c r="I756" s="531"/>
      <c r="J756" s="532"/>
      <c r="K756" s="532"/>
      <c r="L756" s="532"/>
      <c r="M756" s="532"/>
      <c r="N756" s="532"/>
      <c r="O756" s="522"/>
      <c r="P756" s="522"/>
      <c r="Q756" s="522"/>
      <c r="R756" s="522"/>
      <c r="S756" s="522"/>
      <c r="T756" s="522"/>
      <c r="U756" s="522"/>
      <c r="Y756" s="523"/>
    </row>
    <row r="757" spans="1:25" x14ac:dyDescent="0.2">
      <c r="A757" s="519"/>
      <c r="B757" s="519"/>
      <c r="C757" s="519"/>
      <c r="D757" s="519"/>
      <c r="E757" s="519"/>
      <c r="F757" s="530"/>
      <c r="G757" s="530"/>
      <c r="H757" s="530"/>
      <c r="I757" s="531"/>
      <c r="J757" s="532"/>
      <c r="K757" s="532"/>
      <c r="L757" s="532"/>
      <c r="M757" s="532"/>
      <c r="N757" s="532"/>
      <c r="O757" s="522"/>
      <c r="P757" s="522"/>
      <c r="Q757" s="522"/>
      <c r="R757" s="522"/>
      <c r="S757" s="522"/>
      <c r="T757" s="522"/>
      <c r="U757" s="522"/>
      <c r="Y757" s="523"/>
    </row>
    <row r="758" spans="1:25" x14ac:dyDescent="0.2">
      <c r="A758" s="519"/>
      <c r="B758" s="519"/>
      <c r="C758" s="519"/>
      <c r="D758" s="519"/>
      <c r="E758" s="519"/>
      <c r="F758" s="530"/>
      <c r="G758" s="530"/>
      <c r="H758" s="530"/>
      <c r="I758" s="531"/>
      <c r="J758" s="532"/>
      <c r="K758" s="532"/>
      <c r="L758" s="532"/>
      <c r="M758" s="532"/>
      <c r="N758" s="532"/>
      <c r="O758" s="522"/>
      <c r="P758" s="522"/>
      <c r="Q758" s="522"/>
      <c r="R758" s="522"/>
      <c r="S758" s="522"/>
      <c r="T758" s="522"/>
      <c r="U758" s="522"/>
      <c r="Y758" s="523"/>
    </row>
    <row r="759" spans="1:25" x14ac:dyDescent="0.2">
      <c r="A759" s="519"/>
      <c r="B759" s="519"/>
      <c r="C759" s="519"/>
      <c r="D759" s="519"/>
      <c r="E759" s="519"/>
      <c r="F759" s="530"/>
      <c r="G759" s="530"/>
      <c r="H759" s="530"/>
      <c r="I759" s="531"/>
      <c r="J759" s="532"/>
      <c r="K759" s="532"/>
      <c r="L759" s="532"/>
      <c r="M759" s="532"/>
      <c r="N759" s="532"/>
      <c r="O759" s="522"/>
      <c r="P759" s="522"/>
      <c r="Q759" s="522"/>
      <c r="R759" s="522"/>
      <c r="S759" s="522"/>
      <c r="T759" s="522"/>
      <c r="U759" s="522"/>
      <c r="Y759" s="523"/>
    </row>
    <row r="760" spans="1:25" x14ac:dyDescent="0.2">
      <c r="A760" s="519"/>
      <c r="B760" s="519"/>
      <c r="C760" s="519"/>
      <c r="D760" s="519"/>
      <c r="E760" s="519"/>
      <c r="F760" s="530"/>
      <c r="G760" s="530"/>
      <c r="H760" s="530"/>
      <c r="I760" s="531"/>
      <c r="J760" s="532"/>
      <c r="K760" s="532"/>
      <c r="L760" s="532"/>
      <c r="M760" s="532"/>
      <c r="N760" s="532"/>
      <c r="O760" s="522"/>
      <c r="P760" s="522"/>
      <c r="Q760" s="522"/>
      <c r="R760" s="522"/>
      <c r="S760" s="522"/>
      <c r="T760" s="522"/>
      <c r="U760" s="522"/>
      <c r="Y760" s="523"/>
    </row>
    <row r="761" spans="1:25" x14ac:dyDescent="0.2">
      <c r="A761" s="519"/>
      <c r="B761" s="519"/>
      <c r="C761" s="519"/>
      <c r="D761" s="519"/>
      <c r="E761" s="519"/>
      <c r="F761" s="530"/>
      <c r="G761" s="530"/>
      <c r="H761" s="530"/>
      <c r="I761" s="531"/>
      <c r="J761" s="532"/>
      <c r="K761" s="532"/>
      <c r="L761" s="532"/>
      <c r="M761" s="532"/>
      <c r="N761" s="532"/>
      <c r="O761" s="522"/>
      <c r="P761" s="522"/>
      <c r="Q761" s="522"/>
      <c r="R761" s="522"/>
      <c r="S761" s="522"/>
      <c r="T761" s="522"/>
      <c r="U761" s="522"/>
      <c r="Y761" s="523"/>
    </row>
    <row r="762" spans="1:25" x14ac:dyDescent="0.2">
      <c r="A762" s="519"/>
      <c r="B762" s="519"/>
      <c r="C762" s="519"/>
      <c r="D762" s="519"/>
      <c r="E762" s="519"/>
      <c r="F762" s="530"/>
      <c r="G762" s="530"/>
      <c r="H762" s="530"/>
      <c r="I762" s="531"/>
      <c r="J762" s="532"/>
      <c r="K762" s="532"/>
      <c r="L762" s="532"/>
      <c r="M762" s="532"/>
      <c r="N762" s="532"/>
      <c r="O762" s="522"/>
      <c r="P762" s="522"/>
      <c r="Q762" s="522"/>
      <c r="R762" s="522"/>
      <c r="S762" s="522"/>
      <c r="T762" s="522"/>
      <c r="U762" s="522"/>
      <c r="Y762" s="523"/>
    </row>
    <row r="763" spans="1:25" x14ac:dyDescent="0.2">
      <c r="A763" s="519"/>
      <c r="B763" s="519"/>
      <c r="C763" s="519"/>
      <c r="D763" s="519"/>
      <c r="E763" s="519"/>
      <c r="F763" s="530"/>
      <c r="G763" s="530"/>
      <c r="H763" s="530"/>
      <c r="I763" s="531"/>
      <c r="J763" s="532"/>
      <c r="K763" s="532"/>
      <c r="L763" s="532"/>
      <c r="M763" s="532"/>
      <c r="N763" s="532"/>
      <c r="O763" s="522"/>
      <c r="P763" s="522"/>
      <c r="Q763" s="522"/>
      <c r="R763" s="522"/>
      <c r="S763" s="522"/>
      <c r="T763" s="522"/>
      <c r="U763" s="522"/>
      <c r="Y763" s="523"/>
    </row>
    <row r="764" spans="1:25" x14ac:dyDescent="0.2">
      <c r="A764" s="519"/>
      <c r="B764" s="519"/>
      <c r="C764" s="519"/>
      <c r="D764" s="519"/>
      <c r="E764" s="519"/>
      <c r="F764" s="530"/>
      <c r="G764" s="530"/>
      <c r="H764" s="530"/>
      <c r="I764" s="531"/>
      <c r="J764" s="532"/>
      <c r="K764" s="532"/>
      <c r="L764" s="532"/>
      <c r="M764" s="532"/>
      <c r="N764" s="532"/>
      <c r="O764" s="522"/>
      <c r="P764" s="522"/>
      <c r="Q764" s="522"/>
      <c r="R764" s="522"/>
      <c r="S764" s="522"/>
      <c r="T764" s="522"/>
      <c r="U764" s="522"/>
      <c r="Y764" s="523"/>
    </row>
    <row r="765" spans="1:25" x14ac:dyDescent="0.2">
      <c r="A765" s="519"/>
      <c r="B765" s="519"/>
      <c r="C765" s="519"/>
      <c r="D765" s="519"/>
      <c r="E765" s="519"/>
      <c r="F765" s="530"/>
      <c r="G765" s="530"/>
      <c r="H765" s="530"/>
      <c r="I765" s="531"/>
      <c r="J765" s="532"/>
      <c r="K765" s="532"/>
      <c r="L765" s="532"/>
      <c r="M765" s="532"/>
      <c r="N765" s="532"/>
      <c r="O765" s="522"/>
      <c r="P765" s="522"/>
      <c r="Q765" s="522"/>
      <c r="R765" s="522"/>
      <c r="S765" s="522"/>
      <c r="T765" s="522"/>
      <c r="U765" s="522"/>
      <c r="Y765" s="523"/>
    </row>
    <row r="766" spans="1:25" x14ac:dyDescent="0.2">
      <c r="A766" s="519"/>
      <c r="B766" s="519"/>
      <c r="C766" s="519"/>
      <c r="D766" s="519"/>
      <c r="E766" s="519"/>
      <c r="F766" s="530"/>
      <c r="G766" s="530"/>
      <c r="H766" s="530"/>
      <c r="I766" s="531"/>
      <c r="J766" s="532"/>
      <c r="K766" s="532"/>
      <c r="L766" s="532"/>
      <c r="M766" s="532"/>
      <c r="N766" s="532"/>
      <c r="O766" s="522"/>
      <c r="P766" s="522"/>
      <c r="Q766" s="522"/>
      <c r="R766" s="522"/>
      <c r="S766" s="522"/>
      <c r="T766" s="522"/>
      <c r="U766" s="522"/>
      <c r="Y766" s="523"/>
    </row>
    <row r="767" spans="1:25" x14ac:dyDescent="0.2">
      <c r="A767" s="519"/>
      <c r="B767" s="519"/>
      <c r="C767" s="519"/>
      <c r="D767" s="519"/>
      <c r="E767" s="519"/>
      <c r="F767" s="530"/>
      <c r="G767" s="530"/>
      <c r="H767" s="530"/>
      <c r="I767" s="531"/>
      <c r="J767" s="532"/>
      <c r="K767" s="532"/>
      <c r="L767" s="532"/>
      <c r="M767" s="532"/>
      <c r="N767" s="532"/>
      <c r="O767" s="522"/>
      <c r="P767" s="522"/>
      <c r="Q767" s="522"/>
      <c r="R767" s="522"/>
      <c r="S767" s="522"/>
      <c r="T767" s="522"/>
      <c r="U767" s="522"/>
      <c r="Y767" s="523"/>
    </row>
    <row r="768" spans="1:25" x14ac:dyDescent="0.2">
      <c r="A768" s="519"/>
      <c r="B768" s="519"/>
      <c r="C768" s="519"/>
      <c r="D768" s="519"/>
      <c r="E768" s="519"/>
      <c r="F768" s="530"/>
      <c r="G768" s="530"/>
      <c r="H768" s="530"/>
      <c r="I768" s="531"/>
      <c r="J768" s="532"/>
      <c r="K768" s="532"/>
      <c r="L768" s="532"/>
      <c r="M768" s="532"/>
      <c r="N768" s="532"/>
      <c r="O768" s="522"/>
      <c r="P768" s="522"/>
      <c r="Q768" s="522"/>
      <c r="R768" s="522"/>
      <c r="S768" s="522"/>
      <c r="T768" s="522"/>
      <c r="U768" s="522"/>
      <c r="Y768" s="523"/>
    </row>
    <row r="769" spans="1:25" x14ac:dyDescent="0.2">
      <c r="A769" s="519"/>
      <c r="B769" s="519"/>
      <c r="C769" s="519"/>
      <c r="D769" s="519"/>
      <c r="E769" s="519"/>
      <c r="F769" s="530"/>
      <c r="G769" s="530"/>
      <c r="H769" s="530"/>
      <c r="I769" s="531"/>
      <c r="J769" s="532"/>
      <c r="K769" s="532"/>
      <c r="L769" s="532"/>
      <c r="M769" s="532"/>
      <c r="N769" s="532"/>
      <c r="O769" s="522"/>
      <c r="P769" s="522"/>
      <c r="Q769" s="522"/>
      <c r="R769" s="522"/>
      <c r="S769" s="522"/>
      <c r="T769" s="522"/>
      <c r="U769" s="522"/>
      <c r="Y769" s="523"/>
    </row>
    <row r="770" spans="1:25" x14ac:dyDescent="0.2">
      <c r="A770" s="519"/>
      <c r="B770" s="519"/>
      <c r="C770" s="519"/>
      <c r="D770" s="519"/>
      <c r="E770" s="519"/>
      <c r="F770" s="530"/>
      <c r="G770" s="530"/>
      <c r="H770" s="530"/>
      <c r="I770" s="531"/>
      <c r="J770" s="532"/>
      <c r="K770" s="532"/>
      <c r="L770" s="532"/>
      <c r="M770" s="532"/>
      <c r="N770" s="532"/>
      <c r="O770" s="522"/>
      <c r="P770" s="522"/>
      <c r="Q770" s="522"/>
      <c r="R770" s="522"/>
      <c r="S770" s="522"/>
      <c r="T770" s="522"/>
      <c r="U770" s="522"/>
      <c r="Y770" s="523"/>
    </row>
    <row r="771" spans="1:25" x14ac:dyDescent="0.2">
      <c r="A771" s="519"/>
      <c r="B771" s="519"/>
      <c r="C771" s="519"/>
      <c r="D771" s="519"/>
      <c r="E771" s="519"/>
      <c r="F771" s="530"/>
      <c r="G771" s="530"/>
      <c r="H771" s="530"/>
      <c r="I771" s="531"/>
      <c r="J771" s="532"/>
      <c r="K771" s="532"/>
      <c r="L771" s="532"/>
      <c r="M771" s="532"/>
      <c r="N771" s="532"/>
      <c r="O771" s="522"/>
      <c r="P771" s="522"/>
      <c r="Q771" s="522"/>
      <c r="R771" s="522"/>
      <c r="S771" s="522"/>
      <c r="T771" s="522"/>
      <c r="U771" s="522"/>
      <c r="Y771" s="523"/>
    </row>
    <row r="772" spans="1:25" x14ac:dyDescent="0.2">
      <c r="A772" s="519"/>
      <c r="B772" s="519"/>
      <c r="C772" s="519"/>
      <c r="D772" s="519"/>
      <c r="E772" s="519"/>
      <c r="F772" s="530"/>
      <c r="G772" s="530"/>
      <c r="H772" s="530"/>
      <c r="I772" s="531"/>
      <c r="J772" s="532"/>
      <c r="K772" s="532"/>
      <c r="L772" s="532"/>
      <c r="M772" s="532"/>
      <c r="N772" s="532"/>
      <c r="O772" s="522"/>
      <c r="P772" s="522"/>
      <c r="Q772" s="522"/>
      <c r="R772" s="522"/>
      <c r="S772" s="522"/>
      <c r="T772" s="522"/>
      <c r="U772" s="522"/>
      <c r="Y772" s="523"/>
    </row>
    <row r="773" spans="1:25" x14ac:dyDescent="0.2">
      <c r="A773" s="519"/>
      <c r="B773" s="519"/>
      <c r="C773" s="519"/>
      <c r="D773" s="519"/>
      <c r="E773" s="519"/>
      <c r="F773" s="530"/>
      <c r="G773" s="530"/>
      <c r="H773" s="530"/>
      <c r="I773" s="531"/>
      <c r="J773" s="532"/>
      <c r="K773" s="532"/>
      <c r="L773" s="532"/>
      <c r="M773" s="532"/>
      <c r="N773" s="532"/>
      <c r="O773" s="522"/>
      <c r="P773" s="522"/>
      <c r="Q773" s="522"/>
      <c r="R773" s="522"/>
      <c r="S773" s="522"/>
      <c r="T773" s="522"/>
      <c r="U773" s="522"/>
      <c r="Y773" s="523"/>
    </row>
    <row r="774" spans="1:25" x14ac:dyDescent="0.2">
      <c r="A774" s="519"/>
      <c r="B774" s="519"/>
      <c r="C774" s="519"/>
      <c r="D774" s="519"/>
      <c r="E774" s="519"/>
      <c r="F774" s="530"/>
      <c r="G774" s="530"/>
      <c r="H774" s="530"/>
      <c r="I774" s="531"/>
      <c r="J774" s="532"/>
      <c r="K774" s="532"/>
      <c r="L774" s="532"/>
      <c r="M774" s="532"/>
      <c r="N774" s="532"/>
      <c r="O774" s="522"/>
      <c r="P774" s="522"/>
      <c r="Q774" s="522"/>
      <c r="R774" s="522"/>
      <c r="S774" s="522"/>
      <c r="T774" s="522"/>
      <c r="U774" s="522"/>
      <c r="Y774" s="523"/>
    </row>
    <row r="775" spans="1:25" x14ac:dyDescent="0.2">
      <c r="A775" s="519"/>
      <c r="B775" s="519"/>
      <c r="C775" s="519"/>
      <c r="D775" s="519"/>
      <c r="E775" s="519"/>
      <c r="F775" s="530"/>
      <c r="G775" s="530"/>
      <c r="H775" s="530"/>
      <c r="I775" s="531"/>
      <c r="J775" s="532"/>
      <c r="K775" s="532"/>
      <c r="L775" s="532"/>
      <c r="M775" s="532"/>
      <c r="N775" s="532"/>
      <c r="O775" s="522"/>
      <c r="P775" s="522"/>
      <c r="Q775" s="522"/>
      <c r="R775" s="522"/>
      <c r="S775" s="522"/>
      <c r="T775" s="522"/>
      <c r="U775" s="522"/>
      <c r="Y775" s="523"/>
    </row>
    <row r="776" spans="1:25" x14ac:dyDescent="0.2">
      <c r="A776" s="519"/>
      <c r="B776" s="519"/>
      <c r="C776" s="519"/>
      <c r="D776" s="519"/>
      <c r="E776" s="519"/>
      <c r="F776" s="530"/>
      <c r="G776" s="530"/>
      <c r="H776" s="530"/>
      <c r="I776" s="531"/>
      <c r="J776" s="532"/>
      <c r="K776" s="532"/>
      <c r="L776" s="532"/>
      <c r="M776" s="532"/>
      <c r="N776" s="532"/>
      <c r="O776" s="522"/>
      <c r="P776" s="522"/>
      <c r="Q776" s="522"/>
      <c r="R776" s="522"/>
      <c r="S776" s="522"/>
      <c r="T776" s="522"/>
      <c r="U776" s="522"/>
      <c r="Y776" s="523"/>
    </row>
    <row r="777" spans="1:25" x14ac:dyDescent="0.2">
      <c r="A777" s="519"/>
      <c r="B777" s="519"/>
      <c r="C777" s="519"/>
      <c r="D777" s="519"/>
      <c r="E777" s="519"/>
      <c r="F777" s="530"/>
      <c r="G777" s="530"/>
      <c r="H777" s="530"/>
      <c r="I777" s="531"/>
      <c r="J777" s="532"/>
      <c r="K777" s="532"/>
      <c r="L777" s="532"/>
      <c r="M777" s="532"/>
      <c r="N777" s="532"/>
      <c r="O777" s="522"/>
      <c r="P777" s="522"/>
      <c r="Q777" s="522"/>
      <c r="R777" s="522"/>
      <c r="S777" s="522"/>
      <c r="T777" s="522"/>
      <c r="U777" s="522"/>
      <c r="Y777" s="523"/>
    </row>
    <row r="778" spans="1:25" x14ac:dyDescent="0.2">
      <c r="A778" s="519"/>
      <c r="B778" s="519"/>
      <c r="C778" s="519"/>
      <c r="D778" s="519"/>
      <c r="E778" s="519"/>
      <c r="F778" s="530"/>
      <c r="G778" s="530"/>
      <c r="H778" s="530"/>
      <c r="I778" s="531"/>
      <c r="J778" s="532"/>
      <c r="K778" s="532"/>
      <c r="L778" s="532"/>
      <c r="M778" s="532"/>
      <c r="N778" s="532"/>
      <c r="O778" s="522"/>
      <c r="P778" s="522"/>
      <c r="Q778" s="522"/>
      <c r="R778" s="522"/>
      <c r="S778" s="522"/>
      <c r="T778" s="522"/>
      <c r="U778" s="522"/>
      <c r="Y778" s="523"/>
    </row>
    <row r="779" spans="1:25" x14ac:dyDescent="0.2">
      <c r="A779" s="519"/>
      <c r="B779" s="519"/>
      <c r="C779" s="519"/>
      <c r="D779" s="519"/>
      <c r="E779" s="519"/>
      <c r="F779" s="530"/>
      <c r="G779" s="530"/>
      <c r="H779" s="530"/>
      <c r="I779" s="531"/>
      <c r="J779" s="532"/>
      <c r="K779" s="532"/>
      <c r="L779" s="532"/>
      <c r="M779" s="532"/>
      <c r="N779" s="532"/>
      <c r="O779" s="522"/>
      <c r="P779" s="522"/>
      <c r="Q779" s="522"/>
      <c r="R779" s="522"/>
      <c r="S779" s="522"/>
      <c r="T779" s="522"/>
      <c r="U779" s="522"/>
      <c r="Y779" s="523"/>
    </row>
    <row r="780" spans="1:25" x14ac:dyDescent="0.2">
      <c r="A780" s="519"/>
      <c r="B780" s="519"/>
      <c r="C780" s="519"/>
      <c r="D780" s="519"/>
      <c r="E780" s="519"/>
      <c r="F780" s="530"/>
      <c r="G780" s="530"/>
      <c r="H780" s="530"/>
      <c r="I780" s="531"/>
      <c r="J780" s="532"/>
      <c r="K780" s="532"/>
      <c r="L780" s="532"/>
      <c r="M780" s="532"/>
      <c r="N780" s="532"/>
      <c r="O780" s="522"/>
      <c r="P780" s="522"/>
      <c r="Q780" s="522"/>
      <c r="R780" s="522"/>
      <c r="S780" s="522"/>
      <c r="T780" s="522"/>
      <c r="U780" s="522"/>
      <c r="Y780" s="523"/>
    </row>
    <row r="781" spans="1:25" x14ac:dyDescent="0.2">
      <c r="A781" s="519"/>
      <c r="B781" s="519"/>
      <c r="C781" s="519"/>
      <c r="D781" s="519"/>
      <c r="E781" s="519"/>
      <c r="F781" s="530"/>
      <c r="G781" s="530"/>
      <c r="H781" s="530"/>
      <c r="I781" s="531"/>
      <c r="J781" s="532"/>
      <c r="K781" s="532"/>
      <c r="L781" s="532"/>
      <c r="M781" s="532"/>
      <c r="N781" s="532"/>
      <c r="O781" s="522"/>
      <c r="P781" s="522"/>
      <c r="Q781" s="522"/>
      <c r="R781" s="522"/>
      <c r="S781" s="522"/>
      <c r="T781" s="522"/>
      <c r="U781" s="522"/>
      <c r="Y781" s="523"/>
    </row>
    <row r="782" spans="1:25" x14ac:dyDescent="0.2">
      <c r="A782" s="519"/>
      <c r="B782" s="519"/>
      <c r="C782" s="519"/>
      <c r="D782" s="519"/>
      <c r="E782" s="519"/>
      <c r="F782" s="530"/>
      <c r="G782" s="530"/>
      <c r="H782" s="530"/>
      <c r="I782" s="531"/>
      <c r="J782" s="532"/>
      <c r="K782" s="532"/>
      <c r="L782" s="532"/>
      <c r="M782" s="532"/>
      <c r="N782" s="532"/>
      <c r="O782" s="522"/>
      <c r="P782" s="522"/>
      <c r="Q782" s="522"/>
      <c r="R782" s="522"/>
      <c r="S782" s="522"/>
      <c r="T782" s="522"/>
      <c r="U782" s="522"/>
      <c r="Y782" s="523"/>
    </row>
    <row r="783" spans="1:25" x14ac:dyDescent="0.2">
      <c r="A783" s="519"/>
      <c r="B783" s="519"/>
      <c r="C783" s="519"/>
      <c r="D783" s="519"/>
      <c r="E783" s="519"/>
      <c r="F783" s="530"/>
      <c r="G783" s="530"/>
      <c r="H783" s="530"/>
      <c r="I783" s="531"/>
      <c r="J783" s="532"/>
      <c r="K783" s="532"/>
      <c r="L783" s="532"/>
      <c r="M783" s="532"/>
      <c r="N783" s="532"/>
      <c r="O783" s="522"/>
      <c r="P783" s="522"/>
      <c r="Q783" s="522"/>
      <c r="R783" s="522"/>
      <c r="S783" s="522"/>
      <c r="T783" s="522"/>
      <c r="U783" s="522"/>
      <c r="Y783" s="523"/>
    </row>
    <row r="784" spans="1:25" x14ac:dyDescent="0.2">
      <c r="A784" s="519"/>
      <c r="B784" s="519"/>
      <c r="C784" s="519"/>
      <c r="D784" s="519"/>
      <c r="E784" s="519"/>
      <c r="F784" s="530"/>
      <c r="G784" s="530"/>
      <c r="H784" s="530"/>
      <c r="I784" s="531"/>
      <c r="J784" s="532"/>
      <c r="K784" s="532"/>
      <c r="L784" s="532"/>
      <c r="M784" s="532"/>
      <c r="N784" s="532"/>
      <c r="O784" s="522"/>
      <c r="P784" s="522"/>
      <c r="Q784" s="522"/>
      <c r="R784" s="522"/>
      <c r="S784" s="522"/>
      <c r="T784" s="522"/>
      <c r="U784" s="522"/>
      <c r="Y784" s="523"/>
    </row>
    <row r="785" spans="1:25" x14ac:dyDescent="0.2">
      <c r="A785" s="519"/>
      <c r="B785" s="519"/>
      <c r="C785" s="519"/>
      <c r="D785" s="519"/>
      <c r="E785" s="519"/>
      <c r="F785" s="530"/>
      <c r="G785" s="530"/>
      <c r="H785" s="530"/>
      <c r="I785" s="531"/>
      <c r="J785" s="532"/>
      <c r="K785" s="532"/>
      <c r="L785" s="532"/>
      <c r="M785" s="532"/>
      <c r="N785" s="532"/>
      <c r="O785" s="522"/>
      <c r="P785" s="522"/>
      <c r="Q785" s="522"/>
      <c r="R785" s="522"/>
      <c r="S785" s="522"/>
      <c r="T785" s="522"/>
      <c r="U785" s="522"/>
      <c r="Y785" s="523"/>
    </row>
    <row r="786" spans="1:25" x14ac:dyDescent="0.2">
      <c r="A786" s="519"/>
      <c r="B786" s="519"/>
      <c r="C786" s="519"/>
      <c r="D786" s="519"/>
      <c r="E786" s="519"/>
      <c r="F786" s="530"/>
      <c r="G786" s="530"/>
      <c r="H786" s="530"/>
      <c r="I786" s="531"/>
      <c r="J786" s="532"/>
      <c r="K786" s="532"/>
      <c r="L786" s="532"/>
      <c r="M786" s="532"/>
      <c r="N786" s="532"/>
      <c r="O786" s="522"/>
      <c r="P786" s="522"/>
      <c r="Q786" s="522"/>
      <c r="R786" s="522"/>
      <c r="S786" s="522"/>
      <c r="T786" s="522"/>
      <c r="U786" s="522"/>
      <c r="Y786" s="523"/>
    </row>
    <row r="787" spans="1:25" x14ac:dyDescent="0.2">
      <c r="A787" s="519"/>
      <c r="B787" s="519"/>
      <c r="C787" s="519"/>
      <c r="D787" s="519"/>
      <c r="E787" s="519"/>
      <c r="F787" s="530"/>
      <c r="G787" s="530"/>
      <c r="H787" s="530"/>
      <c r="I787" s="531"/>
      <c r="J787" s="532"/>
      <c r="K787" s="532"/>
      <c r="L787" s="532"/>
      <c r="M787" s="532"/>
      <c r="N787" s="532"/>
      <c r="O787" s="522"/>
      <c r="P787" s="522"/>
      <c r="Q787" s="522"/>
      <c r="R787" s="522"/>
      <c r="S787" s="522"/>
      <c r="T787" s="522"/>
      <c r="U787" s="522"/>
      <c r="Y787" s="523"/>
    </row>
    <row r="788" spans="1:25" x14ac:dyDescent="0.2">
      <c r="A788" s="519"/>
      <c r="B788" s="519"/>
      <c r="C788" s="519"/>
      <c r="D788" s="519"/>
      <c r="E788" s="519"/>
      <c r="F788" s="530"/>
      <c r="G788" s="530"/>
      <c r="H788" s="530"/>
      <c r="I788" s="531"/>
      <c r="J788" s="532"/>
      <c r="K788" s="532"/>
      <c r="L788" s="532"/>
      <c r="M788" s="532"/>
      <c r="N788" s="532"/>
      <c r="O788" s="522"/>
      <c r="P788" s="522"/>
      <c r="Q788" s="522"/>
      <c r="R788" s="522"/>
      <c r="S788" s="522"/>
      <c r="T788" s="522"/>
      <c r="U788" s="522"/>
      <c r="Y788" s="523"/>
    </row>
    <row r="789" spans="1:25" x14ac:dyDescent="0.2">
      <c r="A789" s="519"/>
      <c r="B789" s="519"/>
      <c r="C789" s="519"/>
      <c r="D789" s="519"/>
      <c r="E789" s="519"/>
      <c r="F789" s="530"/>
      <c r="G789" s="530"/>
      <c r="H789" s="530"/>
      <c r="I789" s="531"/>
      <c r="J789" s="532"/>
      <c r="K789" s="532"/>
      <c r="L789" s="532"/>
      <c r="M789" s="532"/>
      <c r="N789" s="532"/>
      <c r="O789" s="522"/>
      <c r="P789" s="522"/>
      <c r="Q789" s="522"/>
      <c r="R789" s="522"/>
      <c r="S789" s="522"/>
      <c r="T789" s="522"/>
      <c r="U789" s="522"/>
      <c r="Y789" s="523"/>
    </row>
    <row r="790" spans="1:25" x14ac:dyDescent="0.2">
      <c r="A790" s="519"/>
      <c r="B790" s="519"/>
      <c r="C790" s="519"/>
      <c r="D790" s="519"/>
      <c r="E790" s="519"/>
      <c r="F790" s="530"/>
      <c r="G790" s="530"/>
      <c r="H790" s="530"/>
      <c r="I790" s="531"/>
      <c r="J790" s="532"/>
      <c r="K790" s="532"/>
      <c r="L790" s="532"/>
      <c r="M790" s="532"/>
      <c r="N790" s="532"/>
      <c r="O790" s="522"/>
      <c r="P790" s="522"/>
      <c r="Q790" s="522"/>
      <c r="R790" s="522"/>
      <c r="S790" s="522"/>
      <c r="T790" s="522"/>
      <c r="U790" s="522"/>
      <c r="Y790" s="523"/>
    </row>
    <row r="791" spans="1:25" x14ac:dyDescent="0.2">
      <c r="A791" s="519"/>
      <c r="B791" s="519"/>
      <c r="C791" s="519"/>
      <c r="D791" s="519"/>
      <c r="E791" s="519"/>
      <c r="F791" s="530"/>
      <c r="G791" s="530"/>
      <c r="H791" s="530"/>
      <c r="I791" s="531"/>
      <c r="J791" s="532"/>
      <c r="K791" s="532"/>
      <c r="L791" s="532"/>
      <c r="M791" s="532"/>
      <c r="N791" s="532"/>
      <c r="O791" s="522"/>
      <c r="P791" s="522"/>
      <c r="Q791" s="522"/>
      <c r="R791" s="522"/>
      <c r="S791" s="522"/>
      <c r="T791" s="522"/>
      <c r="U791" s="522"/>
      <c r="Y791" s="523"/>
    </row>
    <row r="792" spans="1:25" x14ac:dyDescent="0.2">
      <c r="A792" s="519"/>
      <c r="B792" s="519"/>
      <c r="C792" s="519"/>
      <c r="D792" s="519"/>
      <c r="E792" s="519"/>
      <c r="F792" s="530"/>
      <c r="G792" s="530"/>
      <c r="H792" s="530"/>
      <c r="I792" s="531"/>
      <c r="J792" s="532"/>
      <c r="K792" s="532"/>
      <c r="L792" s="532"/>
      <c r="M792" s="532"/>
      <c r="N792" s="532"/>
      <c r="O792" s="522"/>
      <c r="P792" s="522"/>
      <c r="Q792" s="522"/>
      <c r="R792" s="522"/>
      <c r="S792" s="522"/>
      <c r="T792" s="522"/>
      <c r="U792" s="522"/>
      <c r="Y792" s="523"/>
    </row>
    <row r="793" spans="1:25" x14ac:dyDescent="0.2">
      <c r="A793" s="519"/>
      <c r="B793" s="519"/>
      <c r="C793" s="519"/>
      <c r="D793" s="519"/>
      <c r="E793" s="519"/>
      <c r="F793" s="530"/>
      <c r="G793" s="530"/>
      <c r="H793" s="530"/>
      <c r="I793" s="531"/>
      <c r="J793" s="532"/>
      <c r="K793" s="532"/>
      <c r="L793" s="532"/>
      <c r="M793" s="532"/>
      <c r="N793" s="532"/>
      <c r="O793" s="522"/>
      <c r="P793" s="522"/>
      <c r="Q793" s="522"/>
      <c r="R793" s="522"/>
      <c r="S793" s="522"/>
      <c r="T793" s="522"/>
      <c r="U793" s="522"/>
      <c r="Y793" s="523"/>
    </row>
    <row r="794" spans="1:25" x14ac:dyDescent="0.2">
      <c r="A794" s="519"/>
      <c r="B794" s="519"/>
      <c r="C794" s="519"/>
      <c r="D794" s="519"/>
      <c r="E794" s="519"/>
      <c r="F794" s="530"/>
      <c r="G794" s="530"/>
      <c r="H794" s="530"/>
      <c r="I794" s="531"/>
      <c r="J794" s="532"/>
      <c r="K794" s="532"/>
      <c r="L794" s="532"/>
      <c r="M794" s="532"/>
      <c r="N794" s="532"/>
      <c r="O794" s="522"/>
      <c r="P794" s="522"/>
      <c r="Q794" s="522"/>
      <c r="R794" s="522"/>
      <c r="S794" s="522"/>
      <c r="T794" s="522"/>
      <c r="U794" s="522"/>
      <c r="Y794" s="523"/>
    </row>
    <row r="795" spans="1:25" x14ac:dyDescent="0.2">
      <c r="A795" s="519"/>
      <c r="B795" s="519"/>
      <c r="C795" s="519"/>
      <c r="D795" s="519"/>
      <c r="E795" s="519"/>
      <c r="F795" s="530"/>
      <c r="G795" s="530"/>
      <c r="H795" s="530"/>
      <c r="I795" s="531"/>
      <c r="J795" s="532"/>
      <c r="K795" s="532"/>
      <c r="L795" s="532"/>
      <c r="M795" s="532"/>
      <c r="N795" s="532"/>
      <c r="O795" s="522"/>
      <c r="P795" s="522"/>
      <c r="Q795" s="522"/>
      <c r="R795" s="522"/>
      <c r="S795" s="522"/>
      <c r="T795" s="522"/>
      <c r="U795" s="522"/>
      <c r="Y795" s="523"/>
    </row>
    <row r="796" spans="1:25" x14ac:dyDescent="0.2">
      <c r="A796" s="519"/>
      <c r="B796" s="519"/>
      <c r="C796" s="519"/>
      <c r="D796" s="519"/>
      <c r="E796" s="519"/>
      <c r="F796" s="530"/>
      <c r="G796" s="530"/>
      <c r="H796" s="530"/>
      <c r="I796" s="531"/>
      <c r="J796" s="532"/>
      <c r="K796" s="532"/>
      <c r="L796" s="532"/>
      <c r="M796" s="532"/>
      <c r="N796" s="532"/>
      <c r="O796" s="522"/>
      <c r="P796" s="522"/>
      <c r="Q796" s="522"/>
      <c r="R796" s="522"/>
      <c r="S796" s="522"/>
      <c r="T796" s="522"/>
      <c r="U796" s="522"/>
      <c r="Y796" s="523"/>
    </row>
    <row r="797" spans="1:25" x14ac:dyDescent="0.2">
      <c r="A797" s="519"/>
      <c r="B797" s="519"/>
      <c r="C797" s="519"/>
      <c r="D797" s="519"/>
      <c r="E797" s="519"/>
      <c r="F797" s="530"/>
      <c r="G797" s="530"/>
      <c r="H797" s="530"/>
      <c r="I797" s="531"/>
      <c r="J797" s="532"/>
      <c r="K797" s="532"/>
      <c r="L797" s="532"/>
      <c r="M797" s="532"/>
      <c r="N797" s="532"/>
      <c r="O797" s="522"/>
      <c r="P797" s="522"/>
      <c r="Q797" s="522"/>
      <c r="R797" s="522"/>
      <c r="S797" s="522"/>
      <c r="T797" s="522"/>
      <c r="U797" s="522"/>
      <c r="Y797" s="523"/>
    </row>
    <row r="798" spans="1:25" x14ac:dyDescent="0.2">
      <c r="A798" s="519"/>
      <c r="B798" s="519"/>
      <c r="C798" s="519"/>
      <c r="D798" s="519"/>
      <c r="E798" s="519"/>
      <c r="F798" s="530"/>
      <c r="G798" s="530"/>
      <c r="H798" s="530"/>
      <c r="I798" s="531"/>
      <c r="J798" s="532"/>
      <c r="K798" s="532"/>
      <c r="L798" s="532"/>
      <c r="M798" s="532"/>
      <c r="N798" s="532"/>
      <c r="O798" s="522"/>
      <c r="P798" s="522"/>
      <c r="Q798" s="522"/>
      <c r="R798" s="522"/>
      <c r="S798" s="522"/>
      <c r="T798" s="522"/>
      <c r="U798" s="522"/>
      <c r="Y798" s="523"/>
    </row>
    <row r="799" spans="1:25" x14ac:dyDescent="0.2">
      <c r="A799" s="519"/>
      <c r="B799" s="519"/>
      <c r="C799" s="519"/>
      <c r="D799" s="519"/>
      <c r="E799" s="519"/>
      <c r="F799" s="530"/>
      <c r="G799" s="530"/>
      <c r="H799" s="530"/>
      <c r="I799" s="531"/>
      <c r="J799" s="532"/>
      <c r="K799" s="532"/>
      <c r="L799" s="532"/>
      <c r="M799" s="532"/>
      <c r="N799" s="532"/>
      <c r="O799" s="522"/>
      <c r="P799" s="522"/>
      <c r="Q799" s="522"/>
      <c r="R799" s="522"/>
      <c r="S799" s="522"/>
      <c r="T799" s="522"/>
      <c r="U799" s="522"/>
      <c r="Y799" s="523"/>
    </row>
    <row r="800" spans="1:25" x14ac:dyDescent="0.2">
      <c r="A800" s="519"/>
      <c r="B800" s="519"/>
      <c r="C800" s="519"/>
      <c r="D800" s="519"/>
      <c r="E800" s="519"/>
      <c r="F800" s="530"/>
      <c r="G800" s="530"/>
      <c r="H800" s="530"/>
      <c r="I800" s="531"/>
      <c r="J800" s="532"/>
      <c r="K800" s="532"/>
      <c r="L800" s="532"/>
      <c r="M800" s="532"/>
      <c r="N800" s="532"/>
      <c r="O800" s="522"/>
      <c r="P800" s="522"/>
      <c r="Q800" s="522"/>
      <c r="R800" s="522"/>
      <c r="S800" s="522"/>
      <c r="T800" s="522"/>
      <c r="U800" s="522"/>
      <c r="Y800" s="523"/>
    </row>
    <row r="801" spans="1:25" x14ac:dyDescent="0.2">
      <c r="A801" s="519"/>
      <c r="B801" s="519"/>
      <c r="C801" s="519"/>
      <c r="D801" s="519"/>
      <c r="E801" s="519"/>
      <c r="F801" s="530"/>
      <c r="G801" s="530"/>
      <c r="H801" s="530"/>
      <c r="I801" s="531"/>
      <c r="J801" s="532"/>
      <c r="K801" s="532"/>
      <c r="L801" s="532"/>
      <c r="M801" s="532"/>
      <c r="N801" s="532"/>
      <c r="O801" s="522"/>
      <c r="P801" s="522"/>
      <c r="Q801" s="522"/>
      <c r="R801" s="522"/>
      <c r="S801" s="522"/>
      <c r="T801" s="522"/>
      <c r="U801" s="522"/>
      <c r="Y801" s="523"/>
    </row>
    <row r="802" spans="1:25" x14ac:dyDescent="0.2">
      <c r="A802" s="519"/>
      <c r="B802" s="519"/>
      <c r="C802" s="519"/>
      <c r="D802" s="519"/>
      <c r="E802" s="519"/>
      <c r="F802" s="530"/>
      <c r="G802" s="530"/>
      <c r="H802" s="530"/>
      <c r="I802" s="531"/>
      <c r="J802" s="532"/>
      <c r="K802" s="532"/>
      <c r="L802" s="532"/>
      <c r="M802" s="532"/>
      <c r="N802" s="532"/>
      <c r="O802" s="522"/>
      <c r="P802" s="522"/>
      <c r="Q802" s="522"/>
      <c r="R802" s="522"/>
      <c r="S802" s="522"/>
      <c r="T802" s="522"/>
      <c r="U802" s="522"/>
      <c r="Y802" s="523"/>
    </row>
    <row r="803" spans="1:25" x14ac:dyDescent="0.2">
      <c r="A803" s="519"/>
      <c r="B803" s="519"/>
      <c r="C803" s="519"/>
      <c r="D803" s="519"/>
      <c r="E803" s="519"/>
      <c r="F803" s="530"/>
      <c r="G803" s="530"/>
      <c r="H803" s="530"/>
      <c r="I803" s="531"/>
      <c r="J803" s="532"/>
      <c r="K803" s="532"/>
      <c r="L803" s="532"/>
      <c r="M803" s="532"/>
      <c r="N803" s="532"/>
      <c r="O803" s="522"/>
      <c r="P803" s="522"/>
      <c r="Q803" s="522"/>
      <c r="R803" s="522"/>
      <c r="S803" s="522"/>
      <c r="T803" s="522"/>
      <c r="U803" s="522"/>
      <c r="Y803" s="523"/>
    </row>
    <row r="804" spans="1:25" x14ac:dyDescent="0.2">
      <c r="A804" s="519"/>
      <c r="B804" s="519"/>
      <c r="C804" s="519"/>
      <c r="D804" s="519"/>
      <c r="E804" s="519"/>
      <c r="F804" s="530"/>
      <c r="G804" s="530"/>
      <c r="H804" s="530"/>
      <c r="I804" s="531"/>
      <c r="J804" s="532"/>
      <c r="K804" s="532"/>
      <c r="L804" s="532"/>
      <c r="M804" s="532"/>
      <c r="N804" s="532"/>
      <c r="O804" s="522"/>
      <c r="P804" s="522"/>
      <c r="Q804" s="522"/>
      <c r="R804" s="522"/>
      <c r="S804" s="522"/>
      <c r="T804" s="522"/>
      <c r="U804" s="522"/>
      <c r="Y804" s="523"/>
    </row>
    <row r="805" spans="1:25" x14ac:dyDescent="0.2">
      <c r="A805" s="519"/>
      <c r="B805" s="519"/>
      <c r="C805" s="519"/>
      <c r="D805" s="519"/>
      <c r="E805" s="519"/>
      <c r="F805" s="530"/>
      <c r="G805" s="530"/>
      <c r="H805" s="530"/>
      <c r="I805" s="531"/>
      <c r="J805" s="532"/>
      <c r="K805" s="532"/>
      <c r="L805" s="532"/>
      <c r="M805" s="532"/>
      <c r="N805" s="532"/>
      <c r="O805" s="522"/>
      <c r="P805" s="522"/>
      <c r="Q805" s="522"/>
      <c r="R805" s="522"/>
      <c r="S805" s="522"/>
      <c r="T805" s="522"/>
      <c r="U805" s="522"/>
      <c r="Y805" s="523"/>
    </row>
    <row r="806" spans="1:25" x14ac:dyDescent="0.2">
      <c r="A806" s="519"/>
      <c r="B806" s="519"/>
      <c r="C806" s="519"/>
      <c r="D806" s="519"/>
      <c r="E806" s="519"/>
      <c r="F806" s="530"/>
      <c r="G806" s="530"/>
      <c r="H806" s="530"/>
      <c r="I806" s="531"/>
      <c r="J806" s="532"/>
      <c r="K806" s="532"/>
      <c r="L806" s="532"/>
      <c r="M806" s="532"/>
      <c r="N806" s="532"/>
      <c r="O806" s="522"/>
      <c r="P806" s="522"/>
      <c r="Q806" s="522"/>
      <c r="R806" s="522"/>
      <c r="S806" s="522"/>
      <c r="T806" s="522"/>
      <c r="U806" s="522"/>
      <c r="Y806" s="523"/>
    </row>
    <row r="807" spans="1:25" x14ac:dyDescent="0.2">
      <c r="A807" s="519"/>
      <c r="B807" s="519"/>
      <c r="C807" s="519"/>
      <c r="D807" s="519"/>
      <c r="E807" s="519"/>
      <c r="F807" s="530"/>
      <c r="G807" s="530"/>
      <c r="H807" s="530"/>
      <c r="I807" s="531"/>
      <c r="J807" s="532"/>
      <c r="K807" s="532"/>
      <c r="L807" s="532"/>
      <c r="M807" s="532"/>
      <c r="N807" s="532"/>
      <c r="O807" s="522"/>
      <c r="P807" s="522"/>
      <c r="Q807" s="522"/>
      <c r="R807" s="522"/>
      <c r="S807" s="522"/>
      <c r="T807" s="522"/>
      <c r="U807" s="522"/>
      <c r="Y807" s="523"/>
    </row>
    <row r="808" spans="1:25" x14ac:dyDescent="0.2">
      <c r="A808" s="519"/>
      <c r="B808" s="519"/>
      <c r="C808" s="519"/>
      <c r="D808" s="519"/>
      <c r="E808" s="519"/>
      <c r="F808" s="530"/>
      <c r="G808" s="530"/>
      <c r="H808" s="530"/>
      <c r="I808" s="531"/>
      <c r="J808" s="532"/>
      <c r="K808" s="532"/>
      <c r="L808" s="532"/>
      <c r="M808" s="532"/>
      <c r="N808" s="532"/>
      <c r="O808" s="522"/>
      <c r="P808" s="522"/>
      <c r="Q808" s="522"/>
      <c r="R808" s="522"/>
      <c r="S808" s="522"/>
      <c r="T808" s="522"/>
      <c r="U808" s="522"/>
      <c r="Y808" s="523"/>
    </row>
    <row r="809" spans="1:25" x14ac:dyDescent="0.2">
      <c r="A809" s="519"/>
      <c r="B809" s="519"/>
      <c r="C809" s="519"/>
      <c r="D809" s="519"/>
      <c r="E809" s="519"/>
      <c r="F809" s="530"/>
      <c r="G809" s="530"/>
      <c r="H809" s="530"/>
      <c r="I809" s="531"/>
      <c r="J809" s="532"/>
      <c r="K809" s="532"/>
      <c r="L809" s="532"/>
      <c r="M809" s="532"/>
      <c r="N809" s="532"/>
      <c r="O809" s="522"/>
      <c r="P809" s="522"/>
      <c r="Q809" s="522"/>
      <c r="R809" s="522"/>
      <c r="S809" s="522"/>
      <c r="T809" s="522"/>
      <c r="U809" s="522"/>
      <c r="Y809" s="523"/>
    </row>
    <row r="810" spans="1:25" x14ac:dyDescent="0.2">
      <c r="A810" s="519"/>
      <c r="B810" s="519"/>
      <c r="C810" s="519"/>
      <c r="D810" s="519"/>
      <c r="E810" s="519"/>
      <c r="F810" s="530"/>
      <c r="G810" s="530"/>
      <c r="H810" s="530"/>
      <c r="I810" s="531"/>
      <c r="J810" s="532"/>
      <c r="K810" s="532"/>
      <c r="L810" s="532"/>
      <c r="M810" s="532"/>
      <c r="N810" s="532"/>
      <c r="O810" s="522"/>
      <c r="P810" s="522"/>
      <c r="Q810" s="522"/>
      <c r="R810" s="522"/>
      <c r="S810" s="522"/>
      <c r="T810" s="522"/>
      <c r="U810" s="522"/>
      <c r="Y810" s="523"/>
    </row>
    <row r="811" spans="1:25" x14ac:dyDescent="0.2">
      <c r="A811" s="519"/>
      <c r="B811" s="519"/>
      <c r="C811" s="519"/>
      <c r="D811" s="519"/>
      <c r="E811" s="519"/>
      <c r="F811" s="530"/>
      <c r="G811" s="530"/>
      <c r="H811" s="530"/>
      <c r="I811" s="531"/>
      <c r="J811" s="532"/>
      <c r="K811" s="532"/>
      <c r="L811" s="532"/>
      <c r="M811" s="532"/>
      <c r="N811" s="532"/>
      <c r="O811" s="522"/>
      <c r="P811" s="522"/>
      <c r="Q811" s="522"/>
      <c r="R811" s="522"/>
      <c r="S811" s="522"/>
      <c r="T811" s="522"/>
      <c r="U811" s="522"/>
      <c r="Y811" s="523"/>
    </row>
    <row r="812" spans="1:25" x14ac:dyDescent="0.2">
      <c r="A812" s="519"/>
      <c r="B812" s="519"/>
      <c r="C812" s="519"/>
      <c r="D812" s="519"/>
      <c r="E812" s="519"/>
      <c r="F812" s="530"/>
      <c r="G812" s="530"/>
      <c r="H812" s="530"/>
      <c r="I812" s="531"/>
      <c r="J812" s="532"/>
      <c r="K812" s="532"/>
      <c r="L812" s="532"/>
      <c r="M812" s="532"/>
      <c r="N812" s="532"/>
      <c r="O812" s="522"/>
      <c r="P812" s="522"/>
      <c r="Q812" s="522"/>
      <c r="R812" s="522"/>
      <c r="S812" s="522"/>
      <c r="T812" s="522"/>
      <c r="U812" s="522"/>
      <c r="Y812" s="523"/>
    </row>
    <row r="813" spans="1:25" x14ac:dyDescent="0.2">
      <c r="A813" s="519"/>
      <c r="B813" s="519"/>
      <c r="C813" s="519"/>
      <c r="D813" s="519"/>
      <c r="E813" s="519"/>
      <c r="F813" s="530"/>
      <c r="G813" s="530"/>
      <c r="H813" s="530"/>
      <c r="I813" s="531"/>
      <c r="J813" s="532"/>
      <c r="K813" s="532"/>
      <c r="L813" s="532"/>
      <c r="M813" s="532"/>
      <c r="N813" s="532"/>
      <c r="O813" s="522"/>
      <c r="P813" s="522"/>
      <c r="Q813" s="522"/>
      <c r="R813" s="522"/>
      <c r="S813" s="522"/>
      <c r="T813" s="522"/>
      <c r="U813" s="522"/>
      <c r="Y813" s="523"/>
    </row>
    <row r="814" spans="1:25" x14ac:dyDescent="0.2">
      <c r="A814" s="519"/>
      <c r="B814" s="519"/>
      <c r="C814" s="519"/>
      <c r="D814" s="519"/>
      <c r="E814" s="519"/>
      <c r="F814" s="530"/>
      <c r="G814" s="530"/>
      <c r="H814" s="530"/>
      <c r="I814" s="531"/>
      <c r="J814" s="532"/>
      <c r="K814" s="532"/>
      <c r="L814" s="532"/>
      <c r="M814" s="532"/>
      <c r="N814" s="532"/>
      <c r="O814" s="522"/>
      <c r="P814" s="522"/>
      <c r="Q814" s="522"/>
      <c r="R814" s="522"/>
      <c r="S814" s="522"/>
      <c r="T814" s="522"/>
      <c r="U814" s="522"/>
      <c r="Y814" s="523"/>
    </row>
    <row r="815" spans="1:25" x14ac:dyDescent="0.2">
      <c r="A815" s="519"/>
      <c r="B815" s="519"/>
      <c r="C815" s="519"/>
      <c r="D815" s="519"/>
      <c r="E815" s="519"/>
      <c r="F815" s="530"/>
      <c r="G815" s="530"/>
      <c r="H815" s="530"/>
      <c r="I815" s="531"/>
      <c r="J815" s="532"/>
      <c r="K815" s="532"/>
      <c r="L815" s="532"/>
      <c r="M815" s="532"/>
      <c r="N815" s="532"/>
      <c r="O815" s="522"/>
      <c r="P815" s="522"/>
      <c r="Q815" s="522"/>
      <c r="R815" s="522"/>
      <c r="S815" s="522"/>
      <c r="T815" s="522"/>
      <c r="U815" s="522"/>
      <c r="Y815" s="523"/>
    </row>
    <row r="816" spans="1:25" x14ac:dyDescent="0.2">
      <c r="A816" s="519"/>
      <c r="B816" s="519"/>
      <c r="C816" s="519"/>
      <c r="D816" s="519"/>
      <c r="E816" s="519"/>
      <c r="F816" s="530"/>
      <c r="G816" s="530"/>
      <c r="H816" s="530"/>
      <c r="I816" s="531"/>
      <c r="J816" s="532"/>
      <c r="K816" s="532"/>
      <c r="L816" s="532"/>
      <c r="M816" s="532"/>
      <c r="N816" s="532"/>
      <c r="O816" s="522"/>
      <c r="P816" s="522"/>
      <c r="Q816" s="522"/>
      <c r="R816" s="522"/>
      <c r="S816" s="522"/>
      <c r="T816" s="522"/>
      <c r="U816" s="522"/>
      <c r="Y816" s="523"/>
    </row>
    <row r="817" spans="1:25" x14ac:dyDescent="0.2">
      <c r="A817" s="519"/>
      <c r="B817" s="519"/>
      <c r="C817" s="519"/>
      <c r="D817" s="519"/>
      <c r="E817" s="519"/>
      <c r="F817" s="530"/>
      <c r="G817" s="530"/>
      <c r="H817" s="530"/>
      <c r="I817" s="531"/>
      <c r="J817" s="532"/>
      <c r="K817" s="532"/>
      <c r="L817" s="532"/>
      <c r="M817" s="532"/>
      <c r="N817" s="532"/>
      <c r="O817" s="522"/>
      <c r="P817" s="522"/>
      <c r="Q817" s="522"/>
      <c r="R817" s="522"/>
      <c r="S817" s="522"/>
      <c r="T817" s="522"/>
      <c r="U817" s="522"/>
      <c r="Y817" s="523"/>
    </row>
    <row r="818" spans="1:25" x14ac:dyDescent="0.2">
      <c r="A818" s="519"/>
      <c r="B818" s="519"/>
      <c r="C818" s="519"/>
      <c r="D818" s="519"/>
      <c r="E818" s="519"/>
      <c r="F818" s="530"/>
      <c r="G818" s="530"/>
      <c r="H818" s="530"/>
      <c r="I818" s="531"/>
      <c r="J818" s="532"/>
      <c r="K818" s="532"/>
      <c r="L818" s="532"/>
      <c r="M818" s="532"/>
      <c r="N818" s="532"/>
      <c r="O818" s="522"/>
      <c r="P818" s="522"/>
      <c r="Q818" s="522"/>
      <c r="R818" s="522"/>
      <c r="S818" s="522"/>
      <c r="T818" s="522"/>
      <c r="U818" s="522"/>
      <c r="Y818" s="523"/>
    </row>
    <row r="819" spans="1:25" x14ac:dyDescent="0.2">
      <c r="A819" s="519"/>
      <c r="B819" s="519"/>
      <c r="C819" s="519"/>
      <c r="D819" s="519"/>
      <c r="E819" s="519"/>
      <c r="F819" s="530"/>
      <c r="G819" s="530"/>
      <c r="H819" s="530"/>
      <c r="I819" s="531"/>
      <c r="J819" s="532"/>
      <c r="K819" s="532"/>
      <c r="L819" s="532"/>
      <c r="M819" s="532"/>
      <c r="N819" s="532"/>
      <c r="O819" s="522"/>
      <c r="P819" s="522"/>
      <c r="Q819" s="522"/>
      <c r="R819" s="522"/>
      <c r="S819" s="522"/>
      <c r="T819" s="522"/>
      <c r="U819" s="522"/>
      <c r="Y819" s="523"/>
    </row>
    <row r="820" spans="1:25" x14ac:dyDescent="0.2">
      <c r="A820" s="519"/>
      <c r="B820" s="519"/>
      <c r="C820" s="519"/>
      <c r="D820" s="519"/>
      <c r="E820" s="519"/>
      <c r="F820" s="530"/>
      <c r="G820" s="530"/>
      <c r="H820" s="530"/>
      <c r="I820" s="531"/>
      <c r="J820" s="532"/>
      <c r="K820" s="532"/>
      <c r="L820" s="532"/>
      <c r="M820" s="532"/>
      <c r="N820" s="532"/>
      <c r="O820" s="522"/>
      <c r="P820" s="522"/>
      <c r="Q820" s="522"/>
      <c r="R820" s="522"/>
      <c r="S820" s="522"/>
      <c r="T820" s="522"/>
      <c r="U820" s="522"/>
      <c r="Y820" s="523"/>
    </row>
    <row r="821" spans="1:25" x14ac:dyDescent="0.2">
      <c r="A821" s="519"/>
      <c r="B821" s="519"/>
      <c r="C821" s="519"/>
      <c r="D821" s="519"/>
      <c r="E821" s="519"/>
      <c r="F821" s="530"/>
      <c r="G821" s="530"/>
      <c r="H821" s="530"/>
      <c r="I821" s="531"/>
      <c r="J821" s="532"/>
      <c r="K821" s="532"/>
      <c r="L821" s="532"/>
      <c r="M821" s="532"/>
      <c r="N821" s="532"/>
      <c r="O821" s="522"/>
      <c r="P821" s="522"/>
      <c r="Q821" s="522"/>
      <c r="R821" s="522"/>
      <c r="S821" s="522"/>
      <c r="T821" s="522"/>
      <c r="U821" s="522"/>
      <c r="Y821" s="523"/>
    </row>
    <row r="822" spans="1:25" x14ac:dyDescent="0.2">
      <c r="A822" s="519"/>
      <c r="B822" s="519"/>
      <c r="C822" s="519"/>
      <c r="D822" s="519"/>
      <c r="E822" s="519"/>
      <c r="F822" s="530"/>
      <c r="G822" s="530"/>
      <c r="H822" s="530"/>
      <c r="I822" s="531"/>
      <c r="J822" s="532"/>
      <c r="K822" s="532"/>
      <c r="L822" s="532"/>
      <c r="M822" s="532"/>
      <c r="N822" s="532"/>
      <c r="O822" s="522"/>
      <c r="P822" s="522"/>
      <c r="Q822" s="522"/>
      <c r="R822" s="522"/>
      <c r="S822" s="522"/>
      <c r="T822" s="522"/>
      <c r="U822" s="522"/>
      <c r="Y822" s="523"/>
    </row>
    <row r="823" spans="1:25" x14ac:dyDescent="0.2">
      <c r="A823" s="519"/>
      <c r="B823" s="519"/>
      <c r="C823" s="519"/>
      <c r="D823" s="519"/>
      <c r="E823" s="519"/>
      <c r="F823" s="530"/>
      <c r="G823" s="530"/>
      <c r="H823" s="530"/>
      <c r="I823" s="531"/>
      <c r="J823" s="532"/>
      <c r="K823" s="532"/>
      <c r="L823" s="532"/>
      <c r="M823" s="532"/>
      <c r="N823" s="532"/>
      <c r="O823" s="522"/>
      <c r="P823" s="522"/>
      <c r="Q823" s="522"/>
      <c r="R823" s="522"/>
      <c r="S823" s="522"/>
      <c r="T823" s="522"/>
      <c r="U823" s="522"/>
      <c r="Y823" s="523"/>
    </row>
    <row r="824" spans="1:25" x14ac:dyDescent="0.2">
      <c r="A824" s="519"/>
      <c r="B824" s="519"/>
      <c r="C824" s="519"/>
      <c r="D824" s="519"/>
      <c r="E824" s="519"/>
      <c r="F824" s="530"/>
      <c r="G824" s="530"/>
      <c r="H824" s="530"/>
      <c r="I824" s="531"/>
      <c r="J824" s="532"/>
      <c r="K824" s="532"/>
      <c r="L824" s="532"/>
      <c r="M824" s="532"/>
      <c r="N824" s="532"/>
      <c r="O824" s="522"/>
      <c r="P824" s="522"/>
      <c r="Q824" s="522"/>
      <c r="R824" s="522"/>
      <c r="S824" s="522"/>
      <c r="T824" s="522"/>
      <c r="U824" s="522"/>
      <c r="Y824" s="523"/>
    </row>
    <row r="825" spans="1:25" x14ac:dyDescent="0.2">
      <c r="A825" s="519"/>
      <c r="B825" s="519"/>
      <c r="C825" s="519"/>
      <c r="D825" s="519"/>
      <c r="E825" s="519"/>
      <c r="F825" s="530"/>
      <c r="G825" s="530"/>
      <c r="H825" s="530"/>
      <c r="I825" s="531"/>
      <c r="J825" s="532"/>
      <c r="K825" s="532"/>
      <c r="L825" s="532"/>
      <c r="M825" s="532"/>
      <c r="N825" s="532"/>
      <c r="O825" s="522"/>
      <c r="P825" s="522"/>
      <c r="Q825" s="522"/>
      <c r="R825" s="522"/>
      <c r="S825" s="522"/>
      <c r="T825" s="522"/>
      <c r="U825" s="522"/>
      <c r="Y825" s="523"/>
    </row>
    <row r="826" spans="1:25" x14ac:dyDescent="0.2">
      <c r="A826" s="519"/>
      <c r="B826" s="519"/>
      <c r="C826" s="519"/>
      <c r="D826" s="519"/>
      <c r="E826" s="519"/>
      <c r="F826" s="530"/>
      <c r="G826" s="530"/>
      <c r="H826" s="530"/>
      <c r="I826" s="531"/>
      <c r="J826" s="532"/>
      <c r="K826" s="532"/>
      <c r="L826" s="532"/>
      <c r="M826" s="532"/>
      <c r="N826" s="532"/>
      <c r="O826" s="522"/>
      <c r="P826" s="522"/>
      <c r="Q826" s="522"/>
      <c r="R826" s="522"/>
      <c r="S826" s="522"/>
      <c r="T826" s="522"/>
      <c r="U826" s="522"/>
      <c r="Y826" s="523"/>
    </row>
    <row r="827" spans="1:25" x14ac:dyDescent="0.2">
      <c r="A827" s="519"/>
      <c r="B827" s="519"/>
      <c r="C827" s="519"/>
      <c r="D827" s="519"/>
      <c r="E827" s="519"/>
      <c r="F827" s="530"/>
      <c r="G827" s="530"/>
      <c r="H827" s="530"/>
      <c r="I827" s="531"/>
      <c r="J827" s="532"/>
      <c r="K827" s="532"/>
      <c r="L827" s="532"/>
      <c r="M827" s="532"/>
      <c r="N827" s="532"/>
      <c r="O827" s="522"/>
      <c r="P827" s="522"/>
      <c r="Q827" s="522"/>
      <c r="R827" s="522"/>
      <c r="S827" s="522"/>
      <c r="T827" s="522"/>
      <c r="U827" s="522"/>
      <c r="Y827" s="523"/>
    </row>
    <row r="828" spans="1:25" x14ac:dyDescent="0.2">
      <c r="A828" s="519"/>
      <c r="B828" s="519"/>
      <c r="C828" s="519"/>
      <c r="D828" s="519"/>
      <c r="E828" s="519"/>
      <c r="F828" s="530"/>
      <c r="G828" s="530"/>
      <c r="H828" s="530"/>
      <c r="I828" s="531"/>
      <c r="J828" s="532"/>
      <c r="K828" s="532"/>
      <c r="L828" s="532"/>
      <c r="M828" s="532"/>
      <c r="N828" s="532"/>
      <c r="O828" s="522"/>
      <c r="P828" s="522"/>
      <c r="Q828" s="522"/>
      <c r="R828" s="522"/>
      <c r="S828" s="522"/>
      <c r="T828" s="522"/>
      <c r="U828" s="522"/>
      <c r="Y828" s="523"/>
    </row>
    <row r="829" spans="1:25" x14ac:dyDescent="0.2">
      <c r="A829" s="519"/>
      <c r="B829" s="519"/>
      <c r="C829" s="519"/>
      <c r="D829" s="519"/>
      <c r="E829" s="519"/>
      <c r="F829" s="530"/>
      <c r="G829" s="530"/>
      <c r="H829" s="530"/>
      <c r="I829" s="531"/>
      <c r="J829" s="532"/>
      <c r="K829" s="532"/>
      <c r="L829" s="532"/>
      <c r="M829" s="532"/>
      <c r="N829" s="532"/>
      <c r="O829" s="522"/>
      <c r="P829" s="522"/>
      <c r="Q829" s="522"/>
      <c r="R829" s="522"/>
      <c r="S829" s="522"/>
      <c r="T829" s="522"/>
      <c r="U829" s="522"/>
      <c r="Y829" s="523"/>
    </row>
    <row r="830" spans="1:25" x14ac:dyDescent="0.2">
      <c r="A830" s="519"/>
      <c r="B830" s="519"/>
      <c r="C830" s="519"/>
      <c r="D830" s="519"/>
      <c r="E830" s="519"/>
      <c r="F830" s="530"/>
      <c r="G830" s="530"/>
      <c r="H830" s="530"/>
      <c r="I830" s="531"/>
      <c r="J830" s="532"/>
      <c r="K830" s="532"/>
      <c r="L830" s="532"/>
      <c r="M830" s="532"/>
      <c r="N830" s="532"/>
      <c r="O830" s="522"/>
      <c r="P830" s="522"/>
      <c r="Q830" s="522"/>
      <c r="R830" s="522"/>
      <c r="S830" s="522"/>
      <c r="T830" s="522"/>
      <c r="U830" s="522"/>
      <c r="Y830" s="523"/>
    </row>
    <row r="831" spans="1:25" x14ac:dyDescent="0.2">
      <c r="A831" s="519"/>
      <c r="B831" s="519"/>
      <c r="C831" s="519"/>
      <c r="D831" s="519"/>
      <c r="E831" s="519"/>
      <c r="F831" s="530"/>
      <c r="G831" s="530"/>
      <c r="H831" s="530"/>
      <c r="I831" s="531"/>
      <c r="J831" s="532"/>
      <c r="K831" s="532"/>
      <c r="L831" s="532"/>
      <c r="M831" s="532"/>
      <c r="N831" s="532"/>
      <c r="O831" s="522"/>
      <c r="P831" s="522"/>
      <c r="Q831" s="522"/>
      <c r="R831" s="522"/>
      <c r="S831" s="522"/>
      <c r="T831" s="522"/>
      <c r="U831" s="522"/>
      <c r="Y831" s="523"/>
    </row>
    <row r="832" spans="1:25" x14ac:dyDescent="0.2">
      <c r="A832" s="519"/>
      <c r="B832" s="519"/>
      <c r="C832" s="519"/>
      <c r="D832" s="519"/>
      <c r="E832" s="519"/>
      <c r="F832" s="530"/>
      <c r="G832" s="530"/>
      <c r="H832" s="530"/>
      <c r="I832" s="531"/>
      <c r="J832" s="532"/>
      <c r="K832" s="532"/>
      <c r="L832" s="532"/>
      <c r="M832" s="532"/>
      <c r="N832" s="532"/>
      <c r="O832" s="522"/>
      <c r="P832" s="522"/>
      <c r="Q832" s="522"/>
      <c r="R832" s="522"/>
      <c r="S832" s="522"/>
      <c r="T832" s="522"/>
      <c r="U832" s="522"/>
      <c r="Y832" s="523"/>
    </row>
    <row r="833" spans="1:25" x14ac:dyDescent="0.2">
      <c r="A833" s="519"/>
      <c r="B833" s="519"/>
      <c r="C833" s="519"/>
      <c r="D833" s="519"/>
      <c r="E833" s="519"/>
      <c r="F833" s="530"/>
      <c r="G833" s="530"/>
      <c r="H833" s="530"/>
      <c r="I833" s="531"/>
      <c r="J833" s="532"/>
      <c r="K833" s="532"/>
      <c r="L833" s="532"/>
      <c r="M833" s="532"/>
      <c r="N833" s="532"/>
      <c r="O833" s="522"/>
      <c r="P833" s="522"/>
      <c r="Q833" s="522"/>
      <c r="R833" s="522"/>
      <c r="S833" s="522"/>
      <c r="T833" s="522"/>
      <c r="U833" s="522"/>
      <c r="Y833" s="523"/>
    </row>
    <row r="834" spans="1:25" x14ac:dyDescent="0.2">
      <c r="A834" s="519"/>
      <c r="B834" s="519"/>
      <c r="C834" s="519"/>
      <c r="D834" s="519"/>
      <c r="E834" s="519"/>
      <c r="F834" s="530"/>
      <c r="G834" s="530"/>
      <c r="H834" s="530"/>
      <c r="I834" s="531"/>
      <c r="J834" s="532"/>
      <c r="K834" s="532"/>
      <c r="L834" s="532"/>
      <c r="M834" s="532"/>
      <c r="N834" s="532"/>
      <c r="O834" s="522"/>
      <c r="P834" s="522"/>
      <c r="Q834" s="522"/>
      <c r="R834" s="522"/>
      <c r="S834" s="522"/>
      <c r="T834" s="522"/>
      <c r="U834" s="522"/>
      <c r="Y834" s="523"/>
    </row>
    <row r="835" spans="1:25" x14ac:dyDescent="0.2">
      <c r="A835" s="519"/>
      <c r="B835" s="519"/>
      <c r="C835" s="519"/>
      <c r="D835" s="519"/>
      <c r="E835" s="519"/>
      <c r="F835" s="530"/>
      <c r="G835" s="530"/>
      <c r="H835" s="530"/>
      <c r="I835" s="531"/>
      <c r="J835" s="532"/>
      <c r="K835" s="532"/>
      <c r="L835" s="532"/>
      <c r="M835" s="532"/>
      <c r="N835" s="532"/>
      <c r="O835" s="522"/>
      <c r="P835" s="522"/>
      <c r="Q835" s="522"/>
      <c r="R835" s="522"/>
      <c r="S835" s="522"/>
      <c r="T835" s="522"/>
      <c r="U835" s="522"/>
      <c r="Y835" s="523"/>
    </row>
    <row r="836" spans="1:25" x14ac:dyDescent="0.2">
      <c r="A836" s="519"/>
      <c r="B836" s="519"/>
      <c r="C836" s="519"/>
      <c r="D836" s="519"/>
      <c r="E836" s="519"/>
      <c r="F836" s="530"/>
      <c r="G836" s="530"/>
      <c r="H836" s="530"/>
      <c r="I836" s="531"/>
      <c r="J836" s="532"/>
      <c r="K836" s="532"/>
      <c r="L836" s="532"/>
      <c r="M836" s="532"/>
      <c r="N836" s="532"/>
      <c r="O836" s="522"/>
      <c r="P836" s="522"/>
      <c r="Q836" s="522"/>
      <c r="R836" s="522"/>
      <c r="S836" s="522"/>
      <c r="T836" s="522"/>
      <c r="U836" s="522"/>
      <c r="Y836" s="523"/>
    </row>
    <row r="837" spans="1:25" x14ac:dyDescent="0.2">
      <c r="A837" s="519"/>
      <c r="B837" s="519"/>
      <c r="C837" s="519"/>
      <c r="D837" s="519"/>
      <c r="E837" s="519"/>
      <c r="F837" s="530"/>
      <c r="G837" s="530"/>
      <c r="H837" s="530"/>
      <c r="I837" s="531"/>
      <c r="J837" s="532"/>
      <c r="K837" s="532"/>
      <c r="L837" s="532"/>
      <c r="M837" s="532"/>
      <c r="N837" s="532"/>
      <c r="O837" s="522"/>
      <c r="P837" s="522"/>
      <c r="Q837" s="522"/>
      <c r="R837" s="522"/>
      <c r="S837" s="522"/>
      <c r="T837" s="522"/>
      <c r="U837" s="522"/>
      <c r="Y837" s="523"/>
    </row>
    <row r="838" spans="1:25" x14ac:dyDescent="0.2">
      <c r="A838" s="519"/>
      <c r="B838" s="519"/>
      <c r="C838" s="519"/>
      <c r="D838" s="519"/>
      <c r="E838" s="519"/>
      <c r="F838" s="530"/>
      <c r="G838" s="530"/>
      <c r="H838" s="530"/>
      <c r="I838" s="531"/>
      <c r="J838" s="532"/>
      <c r="K838" s="532"/>
      <c r="L838" s="532"/>
      <c r="M838" s="532"/>
      <c r="N838" s="532"/>
      <c r="O838" s="522"/>
      <c r="P838" s="522"/>
      <c r="Q838" s="522"/>
      <c r="R838" s="522"/>
      <c r="S838" s="522"/>
      <c r="T838" s="522"/>
      <c r="U838" s="522"/>
      <c r="Y838" s="523"/>
    </row>
    <row r="839" spans="1:25" x14ac:dyDescent="0.2">
      <c r="A839" s="519"/>
      <c r="B839" s="519"/>
      <c r="C839" s="519"/>
      <c r="D839" s="519"/>
      <c r="E839" s="519"/>
      <c r="F839" s="530"/>
      <c r="G839" s="530"/>
      <c r="H839" s="530"/>
      <c r="I839" s="531"/>
      <c r="J839" s="532"/>
      <c r="K839" s="532"/>
      <c r="L839" s="532"/>
      <c r="M839" s="532"/>
      <c r="N839" s="532"/>
      <c r="O839" s="522"/>
      <c r="P839" s="522"/>
      <c r="Q839" s="522"/>
      <c r="R839" s="522"/>
      <c r="S839" s="522"/>
      <c r="T839" s="522"/>
      <c r="U839" s="522"/>
      <c r="Y839" s="523"/>
    </row>
    <row r="840" spans="1:25" x14ac:dyDescent="0.2">
      <c r="A840" s="519"/>
      <c r="B840" s="519"/>
      <c r="C840" s="519"/>
      <c r="D840" s="519"/>
      <c r="E840" s="519"/>
      <c r="F840" s="530"/>
      <c r="G840" s="530"/>
      <c r="H840" s="530"/>
      <c r="I840" s="531"/>
      <c r="J840" s="532"/>
      <c r="K840" s="532"/>
      <c r="L840" s="532"/>
      <c r="M840" s="532"/>
      <c r="N840" s="532"/>
      <c r="O840" s="522"/>
      <c r="P840" s="522"/>
      <c r="Q840" s="522"/>
      <c r="R840" s="522"/>
      <c r="S840" s="522"/>
      <c r="T840" s="522"/>
      <c r="U840" s="522"/>
      <c r="Y840" s="523"/>
    </row>
    <row r="841" spans="1:25" x14ac:dyDescent="0.2">
      <c r="A841" s="519"/>
      <c r="B841" s="519"/>
      <c r="C841" s="519"/>
      <c r="D841" s="519"/>
      <c r="E841" s="519"/>
      <c r="F841" s="530"/>
      <c r="G841" s="530"/>
      <c r="H841" s="530"/>
      <c r="I841" s="531"/>
      <c r="J841" s="532"/>
      <c r="K841" s="532"/>
      <c r="L841" s="532"/>
      <c r="M841" s="532"/>
      <c r="N841" s="532"/>
      <c r="O841" s="522"/>
      <c r="P841" s="522"/>
      <c r="Q841" s="522"/>
      <c r="R841" s="522"/>
      <c r="S841" s="522"/>
      <c r="T841" s="522"/>
      <c r="U841" s="522"/>
      <c r="Y841" s="523"/>
    </row>
    <row r="842" spans="1:25" x14ac:dyDescent="0.2">
      <c r="A842" s="519"/>
      <c r="B842" s="519"/>
      <c r="C842" s="519"/>
      <c r="D842" s="519"/>
      <c r="E842" s="519"/>
      <c r="F842" s="530"/>
      <c r="G842" s="530"/>
      <c r="H842" s="530"/>
      <c r="I842" s="531"/>
      <c r="J842" s="532"/>
      <c r="K842" s="532"/>
      <c r="L842" s="532"/>
      <c r="M842" s="532"/>
      <c r="N842" s="532"/>
      <c r="O842" s="522"/>
      <c r="P842" s="522"/>
      <c r="Q842" s="522"/>
      <c r="R842" s="522"/>
      <c r="S842" s="522"/>
      <c r="T842" s="522"/>
      <c r="U842" s="522"/>
      <c r="Y842" s="523"/>
    </row>
    <row r="843" spans="1:25" x14ac:dyDescent="0.2">
      <c r="A843" s="519"/>
      <c r="B843" s="519"/>
      <c r="C843" s="519"/>
      <c r="D843" s="519"/>
      <c r="E843" s="519"/>
      <c r="F843" s="530"/>
      <c r="G843" s="530"/>
      <c r="H843" s="530"/>
      <c r="I843" s="531"/>
      <c r="J843" s="532"/>
      <c r="K843" s="532"/>
      <c r="L843" s="532"/>
      <c r="M843" s="532"/>
      <c r="N843" s="532"/>
      <c r="O843" s="522"/>
      <c r="P843" s="522"/>
      <c r="Q843" s="522"/>
      <c r="R843" s="522"/>
      <c r="S843" s="522"/>
      <c r="T843" s="522"/>
      <c r="U843" s="522"/>
      <c r="Y843" s="523"/>
    </row>
    <row r="844" spans="1:25" x14ac:dyDescent="0.2">
      <c r="A844" s="519"/>
      <c r="B844" s="519"/>
      <c r="C844" s="519"/>
      <c r="D844" s="519"/>
      <c r="E844" s="519"/>
      <c r="F844" s="530"/>
      <c r="G844" s="530"/>
      <c r="H844" s="530"/>
      <c r="I844" s="531"/>
      <c r="J844" s="532"/>
      <c r="K844" s="532"/>
      <c r="L844" s="532"/>
      <c r="M844" s="532"/>
      <c r="N844" s="532"/>
      <c r="O844" s="522"/>
      <c r="P844" s="522"/>
      <c r="Q844" s="522"/>
      <c r="R844" s="522"/>
      <c r="S844" s="522"/>
      <c r="T844" s="522"/>
      <c r="U844" s="522"/>
      <c r="Y844" s="523"/>
    </row>
    <row r="845" spans="1:25" x14ac:dyDescent="0.2">
      <c r="A845" s="519"/>
      <c r="B845" s="519"/>
      <c r="C845" s="519"/>
      <c r="D845" s="519"/>
      <c r="E845" s="519"/>
      <c r="F845" s="530"/>
      <c r="G845" s="530"/>
      <c r="H845" s="530"/>
      <c r="I845" s="531"/>
      <c r="J845" s="532"/>
      <c r="K845" s="532"/>
      <c r="L845" s="532"/>
      <c r="M845" s="532"/>
      <c r="N845" s="532"/>
      <c r="O845" s="522"/>
      <c r="P845" s="522"/>
      <c r="Q845" s="522"/>
      <c r="R845" s="522"/>
      <c r="S845" s="522"/>
      <c r="T845" s="522"/>
      <c r="U845" s="522"/>
      <c r="Y845" s="523"/>
    </row>
    <row r="846" spans="1:25" x14ac:dyDescent="0.2">
      <c r="A846" s="519"/>
      <c r="B846" s="519"/>
      <c r="C846" s="519"/>
      <c r="D846" s="519"/>
      <c r="E846" s="519"/>
      <c r="F846" s="530"/>
      <c r="G846" s="530"/>
      <c r="H846" s="530"/>
      <c r="I846" s="531"/>
      <c r="J846" s="532"/>
      <c r="K846" s="532"/>
      <c r="L846" s="532"/>
      <c r="M846" s="532"/>
      <c r="N846" s="532"/>
      <c r="O846" s="522"/>
      <c r="P846" s="522"/>
      <c r="Q846" s="522"/>
      <c r="R846" s="522"/>
      <c r="S846" s="522"/>
      <c r="T846" s="522"/>
      <c r="U846" s="522"/>
      <c r="Y846" s="523"/>
    </row>
    <row r="847" spans="1:25" x14ac:dyDescent="0.2">
      <c r="A847" s="519"/>
      <c r="B847" s="519"/>
      <c r="C847" s="519"/>
      <c r="D847" s="519"/>
      <c r="E847" s="519"/>
      <c r="F847" s="530"/>
      <c r="G847" s="530"/>
      <c r="H847" s="530"/>
      <c r="I847" s="531"/>
      <c r="J847" s="532"/>
      <c r="K847" s="532"/>
      <c r="L847" s="532"/>
      <c r="M847" s="532"/>
      <c r="N847" s="532"/>
      <c r="O847" s="522"/>
      <c r="P847" s="522"/>
      <c r="Q847" s="522"/>
      <c r="R847" s="522"/>
      <c r="S847" s="522"/>
      <c r="T847" s="522"/>
      <c r="U847" s="522"/>
      <c r="Y847" s="523"/>
    </row>
    <row r="848" spans="1:25" x14ac:dyDescent="0.2">
      <c r="A848" s="519"/>
      <c r="B848" s="519"/>
      <c r="C848" s="519"/>
      <c r="D848" s="519"/>
      <c r="E848" s="519"/>
      <c r="F848" s="530"/>
      <c r="G848" s="530"/>
      <c r="H848" s="530"/>
      <c r="I848" s="531"/>
      <c r="J848" s="532"/>
      <c r="K848" s="532"/>
      <c r="L848" s="532"/>
      <c r="M848" s="532"/>
      <c r="N848" s="532"/>
      <c r="O848" s="522"/>
      <c r="P848" s="522"/>
      <c r="Q848" s="522"/>
      <c r="R848" s="522"/>
      <c r="S848" s="522"/>
      <c r="T848" s="522"/>
      <c r="U848" s="522"/>
      <c r="Y848" s="523"/>
    </row>
    <row r="849" spans="1:25" x14ac:dyDescent="0.2">
      <c r="A849" s="519"/>
      <c r="B849" s="519"/>
      <c r="C849" s="519"/>
      <c r="D849" s="519"/>
      <c r="E849" s="519"/>
      <c r="F849" s="530"/>
      <c r="G849" s="530"/>
      <c r="H849" s="530"/>
      <c r="I849" s="531"/>
      <c r="J849" s="532"/>
      <c r="K849" s="532"/>
      <c r="L849" s="532"/>
      <c r="M849" s="532"/>
      <c r="N849" s="532"/>
      <c r="O849" s="522"/>
      <c r="P849" s="522"/>
      <c r="Q849" s="522"/>
      <c r="R849" s="522"/>
      <c r="S849" s="522"/>
      <c r="T849" s="522"/>
      <c r="U849" s="522"/>
      <c r="Y849" s="523"/>
    </row>
    <row r="850" spans="1:25" x14ac:dyDescent="0.2">
      <c r="A850" s="519"/>
      <c r="B850" s="519"/>
      <c r="C850" s="519"/>
      <c r="D850" s="519"/>
      <c r="E850" s="519"/>
      <c r="F850" s="530"/>
      <c r="G850" s="530"/>
      <c r="H850" s="530"/>
      <c r="I850" s="531"/>
      <c r="J850" s="532"/>
      <c r="K850" s="532"/>
      <c r="L850" s="532"/>
      <c r="M850" s="532"/>
      <c r="N850" s="532"/>
      <c r="O850" s="522"/>
      <c r="P850" s="522"/>
      <c r="Q850" s="522"/>
      <c r="R850" s="522"/>
      <c r="S850" s="522"/>
      <c r="T850" s="522"/>
      <c r="U850" s="522"/>
      <c r="Y850" s="523"/>
    </row>
    <row r="851" spans="1:25" x14ac:dyDescent="0.2">
      <c r="A851" s="519"/>
      <c r="B851" s="519"/>
      <c r="C851" s="519"/>
      <c r="D851" s="519"/>
      <c r="E851" s="519"/>
      <c r="F851" s="530"/>
      <c r="G851" s="530"/>
      <c r="H851" s="530"/>
      <c r="I851" s="531"/>
      <c r="J851" s="532"/>
      <c r="K851" s="532"/>
      <c r="L851" s="532"/>
      <c r="M851" s="532"/>
      <c r="N851" s="532"/>
      <c r="O851" s="522"/>
      <c r="P851" s="522"/>
      <c r="Q851" s="522"/>
      <c r="R851" s="522"/>
      <c r="S851" s="522"/>
      <c r="T851" s="522"/>
      <c r="U851" s="522"/>
      <c r="Y851" s="523"/>
    </row>
    <row r="852" spans="1:25" x14ac:dyDescent="0.2">
      <c r="A852" s="519"/>
      <c r="B852" s="519"/>
      <c r="C852" s="519"/>
      <c r="D852" s="519"/>
      <c r="E852" s="519"/>
      <c r="F852" s="530"/>
      <c r="G852" s="530"/>
      <c r="H852" s="530"/>
      <c r="I852" s="531"/>
      <c r="J852" s="532"/>
      <c r="K852" s="532"/>
      <c r="L852" s="532"/>
      <c r="M852" s="532"/>
      <c r="N852" s="532"/>
      <c r="O852" s="522"/>
      <c r="P852" s="522"/>
      <c r="Q852" s="522"/>
      <c r="R852" s="522"/>
      <c r="S852" s="522"/>
      <c r="T852" s="522"/>
      <c r="U852" s="522"/>
      <c r="Y852" s="523"/>
    </row>
    <row r="853" spans="1:25" x14ac:dyDescent="0.2">
      <c r="A853" s="519"/>
      <c r="B853" s="519"/>
      <c r="C853" s="519"/>
      <c r="D853" s="519"/>
      <c r="E853" s="519"/>
      <c r="F853" s="530"/>
      <c r="G853" s="530"/>
      <c r="H853" s="530"/>
      <c r="I853" s="531"/>
      <c r="J853" s="532"/>
      <c r="K853" s="532"/>
      <c r="L853" s="532"/>
      <c r="M853" s="532"/>
      <c r="N853" s="532"/>
      <c r="O853" s="522"/>
      <c r="P853" s="522"/>
      <c r="Q853" s="522"/>
      <c r="R853" s="522"/>
      <c r="S853" s="522"/>
      <c r="T853" s="522"/>
      <c r="U853" s="522"/>
      <c r="Y853" s="523"/>
    </row>
    <row r="854" spans="1:25" x14ac:dyDescent="0.2">
      <c r="A854" s="519"/>
      <c r="B854" s="519"/>
      <c r="C854" s="519"/>
      <c r="D854" s="519"/>
      <c r="E854" s="519"/>
      <c r="F854" s="530"/>
      <c r="G854" s="530"/>
      <c r="H854" s="530"/>
      <c r="I854" s="531"/>
      <c r="J854" s="532"/>
      <c r="K854" s="532"/>
      <c r="L854" s="532"/>
      <c r="M854" s="532"/>
      <c r="N854" s="532"/>
      <c r="O854" s="522"/>
      <c r="P854" s="522"/>
      <c r="Q854" s="522"/>
      <c r="R854" s="522"/>
      <c r="S854" s="522"/>
      <c r="T854" s="522"/>
      <c r="U854" s="522"/>
      <c r="Y854" s="523"/>
    </row>
    <row r="855" spans="1:25" x14ac:dyDescent="0.2">
      <c r="A855" s="519"/>
      <c r="B855" s="519"/>
      <c r="C855" s="519"/>
      <c r="D855" s="519"/>
      <c r="E855" s="519"/>
      <c r="F855" s="530"/>
      <c r="G855" s="530"/>
      <c r="H855" s="530"/>
      <c r="I855" s="531"/>
      <c r="J855" s="532"/>
      <c r="K855" s="532"/>
      <c r="L855" s="532"/>
      <c r="M855" s="532"/>
      <c r="N855" s="532"/>
      <c r="O855" s="522"/>
      <c r="P855" s="522"/>
      <c r="Q855" s="522"/>
      <c r="R855" s="522"/>
      <c r="S855" s="522"/>
      <c r="T855" s="522"/>
      <c r="U855" s="522"/>
      <c r="Y855" s="523"/>
    </row>
    <row r="856" spans="1:25" x14ac:dyDescent="0.2">
      <c r="A856" s="519"/>
      <c r="B856" s="519"/>
      <c r="C856" s="519"/>
      <c r="D856" s="519"/>
      <c r="E856" s="519"/>
      <c r="F856" s="530"/>
      <c r="G856" s="530"/>
      <c r="H856" s="530"/>
      <c r="I856" s="531"/>
      <c r="J856" s="532"/>
      <c r="K856" s="532"/>
      <c r="L856" s="532"/>
      <c r="M856" s="532"/>
      <c r="N856" s="532"/>
      <c r="O856" s="522"/>
      <c r="P856" s="522"/>
      <c r="Q856" s="522"/>
      <c r="R856" s="522"/>
      <c r="S856" s="522"/>
      <c r="T856" s="522"/>
      <c r="U856" s="522"/>
      <c r="Y856" s="523"/>
    </row>
    <row r="857" spans="1:25" x14ac:dyDescent="0.2">
      <c r="A857" s="519"/>
      <c r="B857" s="519"/>
      <c r="C857" s="519"/>
      <c r="D857" s="519"/>
      <c r="E857" s="519"/>
      <c r="F857" s="530"/>
      <c r="G857" s="530"/>
      <c r="H857" s="530"/>
      <c r="I857" s="531"/>
      <c r="J857" s="532"/>
      <c r="K857" s="532"/>
      <c r="L857" s="532"/>
      <c r="M857" s="532"/>
      <c r="N857" s="532"/>
      <c r="O857" s="522"/>
      <c r="P857" s="522"/>
      <c r="Q857" s="522"/>
      <c r="R857" s="522"/>
      <c r="S857" s="522"/>
      <c r="T857" s="522"/>
      <c r="U857" s="522"/>
      <c r="Y857" s="523"/>
    </row>
    <row r="858" spans="1:25" x14ac:dyDescent="0.2">
      <c r="A858" s="519"/>
      <c r="B858" s="519"/>
      <c r="C858" s="519"/>
      <c r="D858" s="519"/>
      <c r="E858" s="519"/>
      <c r="F858" s="530"/>
      <c r="G858" s="530"/>
      <c r="H858" s="530"/>
      <c r="I858" s="531"/>
      <c r="J858" s="532"/>
      <c r="K858" s="532"/>
      <c r="L858" s="532"/>
      <c r="M858" s="532"/>
      <c r="N858" s="532"/>
      <c r="O858" s="522"/>
      <c r="P858" s="522"/>
      <c r="Q858" s="522"/>
      <c r="R858" s="522"/>
      <c r="S858" s="522"/>
      <c r="T858" s="522"/>
      <c r="U858" s="522"/>
      <c r="Y858" s="523"/>
    </row>
    <row r="859" spans="1:25" x14ac:dyDescent="0.2">
      <c r="A859" s="519"/>
      <c r="B859" s="519"/>
      <c r="C859" s="519"/>
      <c r="D859" s="519"/>
      <c r="E859" s="519"/>
      <c r="F859" s="530"/>
      <c r="G859" s="530"/>
      <c r="H859" s="530"/>
      <c r="I859" s="531"/>
      <c r="J859" s="532"/>
      <c r="K859" s="532"/>
      <c r="L859" s="532"/>
      <c r="M859" s="532"/>
      <c r="N859" s="532"/>
      <c r="O859" s="522"/>
      <c r="P859" s="522"/>
      <c r="Q859" s="522"/>
      <c r="R859" s="522"/>
      <c r="S859" s="522"/>
      <c r="T859" s="522"/>
      <c r="U859" s="522"/>
      <c r="Y859" s="523"/>
    </row>
    <row r="860" spans="1:25" x14ac:dyDescent="0.2">
      <c r="A860" s="519"/>
      <c r="B860" s="519"/>
      <c r="C860" s="519"/>
      <c r="D860" s="519"/>
      <c r="E860" s="519"/>
      <c r="F860" s="530"/>
      <c r="G860" s="530"/>
      <c r="H860" s="530"/>
      <c r="I860" s="531"/>
      <c r="J860" s="532"/>
      <c r="K860" s="532"/>
      <c r="L860" s="532"/>
      <c r="M860" s="532"/>
      <c r="N860" s="532"/>
      <c r="O860" s="522"/>
      <c r="P860" s="522"/>
      <c r="Q860" s="522"/>
      <c r="R860" s="522"/>
      <c r="S860" s="522"/>
      <c r="T860" s="522"/>
      <c r="U860" s="522"/>
      <c r="Y860" s="523"/>
    </row>
    <row r="861" spans="1:25" x14ac:dyDescent="0.2">
      <c r="A861" s="519"/>
      <c r="B861" s="519"/>
      <c r="C861" s="519"/>
      <c r="D861" s="519"/>
      <c r="E861" s="519"/>
      <c r="F861" s="530"/>
      <c r="G861" s="530"/>
      <c r="H861" s="530"/>
      <c r="I861" s="531"/>
      <c r="J861" s="532"/>
      <c r="K861" s="532"/>
      <c r="L861" s="532"/>
      <c r="M861" s="532"/>
      <c r="N861" s="532"/>
      <c r="O861" s="522"/>
      <c r="P861" s="522"/>
      <c r="Q861" s="522"/>
      <c r="R861" s="522"/>
      <c r="S861" s="522"/>
      <c r="T861" s="522"/>
      <c r="U861" s="522"/>
      <c r="Y861" s="523"/>
    </row>
    <row r="862" spans="1:25" x14ac:dyDescent="0.2">
      <c r="A862" s="519"/>
      <c r="B862" s="519"/>
      <c r="C862" s="519"/>
      <c r="D862" s="519"/>
      <c r="E862" s="519"/>
      <c r="F862" s="530"/>
      <c r="G862" s="530"/>
      <c r="H862" s="530"/>
      <c r="I862" s="531"/>
      <c r="J862" s="532"/>
      <c r="K862" s="532"/>
      <c r="L862" s="532"/>
      <c r="M862" s="532"/>
      <c r="N862" s="532"/>
      <c r="O862" s="522"/>
      <c r="P862" s="522"/>
      <c r="Q862" s="522"/>
      <c r="R862" s="522"/>
      <c r="S862" s="522"/>
      <c r="T862" s="522"/>
      <c r="U862" s="522"/>
      <c r="Y862" s="523"/>
    </row>
    <row r="863" spans="1:25" x14ac:dyDescent="0.2">
      <c r="A863" s="519"/>
      <c r="B863" s="519"/>
      <c r="C863" s="519"/>
      <c r="D863" s="519"/>
      <c r="E863" s="519"/>
      <c r="F863" s="530"/>
      <c r="G863" s="530"/>
      <c r="H863" s="530"/>
      <c r="I863" s="531"/>
      <c r="J863" s="532"/>
      <c r="K863" s="532"/>
      <c r="L863" s="532"/>
      <c r="M863" s="532"/>
      <c r="N863" s="532"/>
      <c r="O863" s="522"/>
      <c r="P863" s="522"/>
      <c r="Q863" s="522"/>
      <c r="R863" s="522"/>
      <c r="S863" s="522"/>
      <c r="T863" s="522"/>
      <c r="U863" s="522"/>
      <c r="Y863" s="523"/>
    </row>
    <row r="864" spans="1:25" x14ac:dyDescent="0.2">
      <c r="A864" s="519"/>
      <c r="B864" s="519"/>
      <c r="C864" s="519"/>
      <c r="D864" s="519"/>
      <c r="E864" s="519"/>
      <c r="F864" s="530"/>
      <c r="G864" s="530"/>
      <c r="H864" s="530"/>
      <c r="I864" s="531"/>
      <c r="J864" s="532"/>
      <c r="K864" s="532"/>
      <c r="L864" s="532"/>
      <c r="M864" s="532"/>
      <c r="N864" s="532"/>
      <c r="O864" s="522"/>
      <c r="P864" s="522"/>
      <c r="Q864" s="522"/>
      <c r="R864" s="522"/>
      <c r="S864" s="522"/>
      <c r="T864" s="522"/>
      <c r="U864" s="522"/>
      <c r="Y864" s="523"/>
    </row>
    <row r="865" spans="1:25" x14ac:dyDescent="0.2">
      <c r="A865" s="519"/>
      <c r="B865" s="519"/>
      <c r="C865" s="519"/>
      <c r="D865" s="519"/>
      <c r="E865" s="519"/>
      <c r="F865" s="530"/>
      <c r="G865" s="530"/>
      <c r="H865" s="530"/>
      <c r="I865" s="531"/>
      <c r="J865" s="532"/>
      <c r="K865" s="532"/>
      <c r="L865" s="532"/>
      <c r="M865" s="532"/>
      <c r="N865" s="532"/>
      <c r="O865" s="522"/>
      <c r="P865" s="522"/>
      <c r="Q865" s="522"/>
      <c r="R865" s="522"/>
      <c r="S865" s="522"/>
      <c r="T865" s="522"/>
      <c r="U865" s="522"/>
      <c r="Y865" s="523"/>
    </row>
    <row r="866" spans="1:25" x14ac:dyDescent="0.2">
      <c r="A866" s="519"/>
      <c r="B866" s="519"/>
      <c r="C866" s="519"/>
      <c r="D866" s="519"/>
      <c r="E866" s="519"/>
      <c r="F866" s="530"/>
      <c r="G866" s="530"/>
      <c r="H866" s="530"/>
      <c r="I866" s="531"/>
      <c r="J866" s="532"/>
      <c r="K866" s="532"/>
      <c r="L866" s="532"/>
      <c r="M866" s="532"/>
      <c r="N866" s="532"/>
      <c r="O866" s="522"/>
      <c r="P866" s="522"/>
      <c r="Q866" s="522"/>
      <c r="R866" s="522"/>
      <c r="S866" s="522"/>
      <c r="T866" s="522"/>
      <c r="U866" s="522"/>
      <c r="Y866" s="523"/>
    </row>
    <row r="867" spans="1:25" x14ac:dyDescent="0.2">
      <c r="A867" s="519"/>
      <c r="B867" s="519"/>
      <c r="C867" s="519"/>
      <c r="D867" s="519"/>
      <c r="E867" s="519"/>
      <c r="F867" s="530"/>
      <c r="G867" s="530"/>
      <c r="H867" s="530"/>
      <c r="I867" s="531"/>
      <c r="J867" s="532"/>
      <c r="K867" s="532"/>
      <c r="L867" s="532"/>
      <c r="M867" s="532"/>
      <c r="N867" s="532"/>
      <c r="O867" s="522"/>
      <c r="P867" s="522"/>
      <c r="Q867" s="522"/>
      <c r="R867" s="522"/>
      <c r="S867" s="522"/>
      <c r="T867" s="522"/>
      <c r="U867" s="522"/>
      <c r="Y867" s="523"/>
    </row>
    <row r="868" spans="1:25" x14ac:dyDescent="0.2">
      <c r="A868" s="519"/>
      <c r="B868" s="519"/>
      <c r="C868" s="519"/>
      <c r="D868" s="519"/>
      <c r="E868" s="519"/>
      <c r="F868" s="530"/>
      <c r="G868" s="530"/>
      <c r="H868" s="530"/>
      <c r="I868" s="531"/>
      <c r="J868" s="532"/>
      <c r="K868" s="532"/>
      <c r="L868" s="532"/>
      <c r="M868" s="532"/>
      <c r="N868" s="532"/>
      <c r="O868" s="522"/>
      <c r="P868" s="522"/>
      <c r="Q868" s="522"/>
      <c r="R868" s="522"/>
      <c r="S868" s="522"/>
      <c r="T868" s="522"/>
      <c r="U868" s="522"/>
      <c r="Y868" s="523"/>
    </row>
    <row r="869" spans="1:25" x14ac:dyDescent="0.2">
      <c r="A869" s="519"/>
      <c r="B869" s="519"/>
      <c r="C869" s="519"/>
      <c r="D869" s="519"/>
      <c r="E869" s="519"/>
      <c r="F869" s="530"/>
      <c r="G869" s="530"/>
      <c r="H869" s="530"/>
      <c r="I869" s="531"/>
      <c r="J869" s="532"/>
      <c r="K869" s="532"/>
      <c r="L869" s="532"/>
      <c r="M869" s="532"/>
      <c r="N869" s="532"/>
      <c r="O869" s="522"/>
      <c r="P869" s="522"/>
      <c r="Q869" s="522"/>
      <c r="R869" s="522"/>
      <c r="S869" s="522"/>
      <c r="T869" s="522"/>
      <c r="U869" s="522"/>
      <c r="Y869" s="523"/>
    </row>
    <row r="870" spans="1:25" x14ac:dyDescent="0.2">
      <c r="A870" s="519"/>
      <c r="B870" s="519"/>
      <c r="C870" s="519"/>
      <c r="D870" s="519"/>
      <c r="E870" s="519"/>
      <c r="F870" s="530"/>
      <c r="G870" s="530"/>
      <c r="H870" s="530"/>
      <c r="I870" s="531"/>
      <c r="J870" s="532"/>
      <c r="K870" s="532"/>
      <c r="L870" s="532"/>
      <c r="M870" s="532"/>
      <c r="N870" s="532"/>
      <c r="O870" s="522"/>
      <c r="P870" s="522"/>
      <c r="Q870" s="522"/>
      <c r="R870" s="522"/>
      <c r="S870" s="522"/>
      <c r="T870" s="522"/>
      <c r="U870" s="522"/>
      <c r="Y870" s="523"/>
    </row>
    <row r="871" spans="1:25" x14ac:dyDescent="0.2">
      <c r="A871" s="519"/>
      <c r="B871" s="519"/>
      <c r="C871" s="519"/>
      <c r="D871" s="519"/>
      <c r="E871" s="519"/>
      <c r="F871" s="530"/>
      <c r="G871" s="530"/>
      <c r="H871" s="530"/>
      <c r="I871" s="531"/>
      <c r="J871" s="532"/>
      <c r="K871" s="532"/>
      <c r="L871" s="532"/>
      <c r="M871" s="532"/>
      <c r="N871" s="532"/>
      <c r="O871" s="522"/>
      <c r="P871" s="522"/>
      <c r="Q871" s="522"/>
      <c r="R871" s="522"/>
      <c r="S871" s="522"/>
      <c r="T871" s="522"/>
      <c r="U871" s="522"/>
      <c r="Y871" s="523"/>
    </row>
    <row r="872" spans="1:25" x14ac:dyDescent="0.2">
      <c r="A872" s="519"/>
      <c r="B872" s="519"/>
      <c r="C872" s="519"/>
      <c r="D872" s="519"/>
      <c r="E872" s="519"/>
      <c r="F872" s="530"/>
      <c r="G872" s="530"/>
      <c r="H872" s="530"/>
      <c r="I872" s="531"/>
      <c r="J872" s="532"/>
      <c r="K872" s="532"/>
      <c r="L872" s="532"/>
      <c r="M872" s="532"/>
      <c r="N872" s="532"/>
      <c r="O872" s="522"/>
      <c r="P872" s="522"/>
      <c r="Q872" s="522"/>
      <c r="R872" s="522"/>
      <c r="S872" s="522"/>
      <c r="T872" s="522"/>
      <c r="U872" s="522"/>
      <c r="Y872" s="523"/>
    </row>
    <row r="873" spans="1:25" x14ac:dyDescent="0.2">
      <c r="A873" s="519"/>
      <c r="B873" s="519"/>
      <c r="C873" s="519"/>
      <c r="D873" s="519"/>
      <c r="E873" s="519"/>
      <c r="F873" s="530"/>
      <c r="G873" s="530"/>
      <c r="H873" s="530"/>
      <c r="I873" s="531"/>
      <c r="J873" s="532"/>
      <c r="K873" s="532"/>
      <c r="L873" s="532"/>
      <c r="M873" s="532"/>
      <c r="N873" s="532"/>
      <c r="O873" s="522"/>
      <c r="P873" s="522"/>
      <c r="Q873" s="522"/>
      <c r="R873" s="522"/>
      <c r="S873" s="522"/>
      <c r="T873" s="522"/>
      <c r="U873" s="522"/>
      <c r="Y873" s="523"/>
    </row>
    <row r="874" spans="1:25" x14ac:dyDescent="0.2">
      <c r="A874" s="519"/>
      <c r="B874" s="519"/>
      <c r="C874" s="519"/>
      <c r="D874" s="519"/>
      <c r="E874" s="519"/>
      <c r="F874" s="530"/>
      <c r="G874" s="530"/>
      <c r="H874" s="530"/>
      <c r="I874" s="531"/>
      <c r="J874" s="532"/>
      <c r="K874" s="532"/>
      <c r="L874" s="532"/>
      <c r="M874" s="532"/>
      <c r="N874" s="532"/>
      <c r="O874" s="522"/>
      <c r="P874" s="522"/>
      <c r="Q874" s="522"/>
      <c r="R874" s="522"/>
      <c r="S874" s="522"/>
      <c r="T874" s="522"/>
      <c r="U874" s="522"/>
      <c r="Y874" s="523"/>
    </row>
    <row r="875" spans="1:25" x14ac:dyDescent="0.2">
      <c r="A875" s="519"/>
      <c r="B875" s="519"/>
      <c r="C875" s="519"/>
      <c r="D875" s="519"/>
      <c r="E875" s="519"/>
      <c r="F875" s="530"/>
      <c r="G875" s="530"/>
      <c r="H875" s="530"/>
      <c r="I875" s="531"/>
      <c r="J875" s="532"/>
      <c r="K875" s="532"/>
      <c r="L875" s="532"/>
      <c r="M875" s="532"/>
      <c r="N875" s="532"/>
      <c r="O875" s="522"/>
      <c r="P875" s="522"/>
      <c r="Q875" s="522"/>
      <c r="R875" s="522"/>
      <c r="S875" s="522"/>
      <c r="T875" s="522"/>
      <c r="U875" s="522"/>
      <c r="Y875" s="523"/>
    </row>
    <row r="876" spans="1:25" x14ac:dyDescent="0.2">
      <c r="A876" s="519"/>
      <c r="B876" s="519"/>
      <c r="C876" s="519"/>
      <c r="D876" s="519"/>
      <c r="E876" s="519"/>
      <c r="F876" s="530"/>
      <c r="G876" s="530"/>
      <c r="H876" s="530"/>
      <c r="I876" s="531"/>
      <c r="J876" s="532"/>
      <c r="K876" s="532"/>
      <c r="L876" s="532"/>
      <c r="M876" s="532"/>
      <c r="N876" s="532"/>
      <c r="O876" s="522"/>
      <c r="P876" s="522"/>
      <c r="Q876" s="522"/>
      <c r="R876" s="522"/>
      <c r="S876" s="522"/>
      <c r="T876" s="522"/>
      <c r="U876" s="522"/>
      <c r="Y876" s="523"/>
    </row>
    <row r="877" spans="1:25" x14ac:dyDescent="0.2">
      <c r="A877" s="519"/>
      <c r="B877" s="519"/>
      <c r="C877" s="519"/>
      <c r="D877" s="519"/>
      <c r="E877" s="519"/>
      <c r="F877" s="530"/>
      <c r="G877" s="530"/>
      <c r="H877" s="530"/>
      <c r="I877" s="531"/>
      <c r="J877" s="532"/>
      <c r="K877" s="532"/>
      <c r="L877" s="532"/>
      <c r="M877" s="532"/>
      <c r="N877" s="532"/>
      <c r="O877" s="522"/>
      <c r="P877" s="522"/>
      <c r="Q877" s="522"/>
      <c r="R877" s="522"/>
      <c r="S877" s="522"/>
      <c r="T877" s="522"/>
      <c r="U877" s="522"/>
      <c r="Y877" s="523"/>
    </row>
    <row r="878" spans="1:25" x14ac:dyDescent="0.2">
      <c r="A878" s="519"/>
      <c r="B878" s="519"/>
      <c r="C878" s="519"/>
      <c r="D878" s="519"/>
      <c r="E878" s="519"/>
      <c r="F878" s="530"/>
      <c r="G878" s="530"/>
      <c r="H878" s="530"/>
      <c r="I878" s="531"/>
      <c r="J878" s="532"/>
      <c r="K878" s="532"/>
      <c r="L878" s="532"/>
      <c r="M878" s="532"/>
      <c r="N878" s="532"/>
      <c r="O878" s="522"/>
      <c r="P878" s="522"/>
      <c r="Q878" s="522"/>
      <c r="R878" s="522"/>
      <c r="S878" s="522"/>
      <c r="T878" s="522"/>
      <c r="U878" s="522"/>
      <c r="Y878" s="523"/>
    </row>
    <row r="879" spans="1:25" x14ac:dyDescent="0.2">
      <c r="A879" s="519"/>
      <c r="B879" s="519"/>
      <c r="C879" s="519"/>
      <c r="D879" s="519"/>
      <c r="E879" s="519"/>
      <c r="F879" s="530"/>
      <c r="G879" s="530"/>
      <c r="H879" s="530"/>
      <c r="I879" s="531"/>
      <c r="J879" s="532"/>
      <c r="K879" s="532"/>
      <c r="L879" s="532"/>
      <c r="M879" s="532"/>
      <c r="N879" s="522"/>
      <c r="O879" s="522"/>
      <c r="P879" s="522"/>
      <c r="Q879" s="522"/>
      <c r="R879" s="522"/>
      <c r="S879" s="522"/>
      <c r="T879" s="522"/>
      <c r="U879" s="522"/>
      <c r="Y879" s="523"/>
    </row>
    <row r="880" spans="1:25" x14ac:dyDescent="0.2">
      <c r="A880" s="519"/>
      <c r="B880" s="519"/>
      <c r="C880" s="519"/>
      <c r="D880" s="519"/>
      <c r="E880" s="519"/>
      <c r="F880" s="530"/>
      <c r="G880" s="530"/>
      <c r="H880" s="530"/>
      <c r="I880" s="531"/>
      <c r="J880" s="532"/>
      <c r="K880" s="532"/>
      <c r="L880" s="532"/>
      <c r="M880" s="532"/>
      <c r="N880" s="522"/>
      <c r="O880" s="522"/>
      <c r="P880" s="522"/>
      <c r="Q880" s="522"/>
      <c r="R880" s="522"/>
      <c r="S880" s="522"/>
      <c r="T880" s="522"/>
      <c r="U880" s="522"/>
      <c r="Y880" s="523"/>
    </row>
    <row r="881" spans="1:25" x14ac:dyDescent="0.2">
      <c r="A881" s="519"/>
      <c r="B881" s="519"/>
      <c r="C881" s="519"/>
      <c r="D881" s="519"/>
      <c r="E881" s="519"/>
      <c r="F881" s="530"/>
      <c r="G881" s="530"/>
      <c r="H881" s="530"/>
      <c r="I881" s="531"/>
      <c r="J881" s="532"/>
      <c r="K881" s="532"/>
      <c r="L881" s="532"/>
      <c r="M881" s="532"/>
      <c r="N881" s="522"/>
      <c r="O881" s="522"/>
      <c r="P881" s="522"/>
      <c r="Q881" s="522"/>
      <c r="R881" s="522"/>
      <c r="S881" s="522"/>
      <c r="T881" s="522"/>
      <c r="U881" s="522"/>
      <c r="Y881" s="523"/>
    </row>
  </sheetData>
  <autoFilter ref="A15:AD179"/>
  <mergeCells count="169">
    <mergeCell ref="AB13:AD13"/>
    <mergeCell ref="F124:F130"/>
    <mergeCell ref="F117:F122"/>
    <mergeCell ref="F136:F142"/>
    <mergeCell ref="F166:F171"/>
    <mergeCell ref="F153:F163"/>
    <mergeCell ref="A34:A49"/>
    <mergeCell ref="B34:B49"/>
    <mergeCell ref="C34:C48"/>
    <mergeCell ref="D34:D49"/>
    <mergeCell ref="E34:E49"/>
    <mergeCell ref="B50:B59"/>
    <mergeCell ref="C50:C59"/>
    <mergeCell ref="D50:D59"/>
    <mergeCell ref="D151:D152"/>
    <mergeCell ref="E165:E173"/>
    <mergeCell ref="B60:B79"/>
    <mergeCell ref="C60:C79"/>
    <mergeCell ref="C103:C116"/>
    <mergeCell ref="D103:D116"/>
    <mergeCell ref="D84:D102"/>
    <mergeCell ref="D81:D83"/>
    <mergeCell ref="F101:P101"/>
    <mergeCell ref="F109:P109"/>
    <mergeCell ref="X151:X152"/>
    <mergeCell ref="Y151:Y152"/>
    <mergeCell ref="C182:F182"/>
    <mergeCell ref="C179:F179"/>
    <mergeCell ref="A147:D147"/>
    <mergeCell ref="A148:D148"/>
    <mergeCell ref="A149:D149"/>
    <mergeCell ref="A150:D150"/>
    <mergeCell ref="A175:P175"/>
    <mergeCell ref="F173:P173"/>
    <mergeCell ref="J182:N182"/>
    <mergeCell ref="B151:B152"/>
    <mergeCell ref="A153:A164"/>
    <mergeCell ref="B165:B174"/>
    <mergeCell ref="A151:A152"/>
    <mergeCell ref="B153:B164"/>
    <mergeCell ref="A165:A174"/>
    <mergeCell ref="I151:I152"/>
    <mergeCell ref="G151:G152"/>
    <mergeCell ref="F151:F152"/>
    <mergeCell ref="J178:N178"/>
    <mergeCell ref="J179:N179"/>
    <mergeCell ref="J183:N183"/>
    <mergeCell ref="R151:R152"/>
    <mergeCell ref="S151:S152"/>
    <mergeCell ref="T151:T152"/>
    <mergeCell ref="E147:T147"/>
    <mergeCell ref="E148:T148"/>
    <mergeCell ref="E149:T149"/>
    <mergeCell ref="C178:F178"/>
    <mergeCell ref="E151:E152"/>
    <mergeCell ref="C151:C152"/>
    <mergeCell ref="H151:H152"/>
    <mergeCell ref="E153:E164"/>
    <mergeCell ref="D153:D164"/>
    <mergeCell ref="C153:C164"/>
    <mergeCell ref="C174:P174"/>
    <mergeCell ref="C165:C173"/>
    <mergeCell ref="G172:P172"/>
    <mergeCell ref="J151:J152"/>
    <mergeCell ref="D165:D173"/>
    <mergeCell ref="N151:P151"/>
    <mergeCell ref="G164:P164"/>
    <mergeCell ref="K151:K152"/>
    <mergeCell ref="F144:P144"/>
    <mergeCell ref="A146:P146"/>
    <mergeCell ref="B103:B116"/>
    <mergeCell ref="A103:A116"/>
    <mergeCell ref="B117:B144"/>
    <mergeCell ref="C81:C102"/>
    <mergeCell ref="B81:B102"/>
    <mergeCell ref="A81:A102"/>
    <mergeCell ref="A50:A59"/>
    <mergeCell ref="F102:P102"/>
    <mergeCell ref="A60:A79"/>
    <mergeCell ref="A117:A144"/>
    <mergeCell ref="C117:C144"/>
    <mergeCell ref="D117:D144"/>
    <mergeCell ref="F133:P133"/>
    <mergeCell ref="F135:P135"/>
    <mergeCell ref="F131:P131"/>
    <mergeCell ref="E81:E83"/>
    <mergeCell ref="F83:P83"/>
    <mergeCell ref="F84:F100"/>
    <mergeCell ref="F103:F108"/>
    <mergeCell ref="F112:F114"/>
    <mergeCell ref="F111:P111"/>
    <mergeCell ref="F143:P143"/>
    <mergeCell ref="A10:C10"/>
    <mergeCell ref="A11:C11"/>
    <mergeCell ref="A14:A15"/>
    <mergeCell ref="D22:D31"/>
    <mergeCell ref="C14:C15"/>
    <mergeCell ref="E16:E21"/>
    <mergeCell ref="E13:T13"/>
    <mergeCell ref="E11:T11"/>
    <mergeCell ref="S14:S15"/>
    <mergeCell ref="T14:T15"/>
    <mergeCell ref="J14:J15"/>
    <mergeCell ref="N14:P14"/>
    <mergeCell ref="R14:R15"/>
    <mergeCell ref="F14:F15"/>
    <mergeCell ref="I14:I15"/>
    <mergeCell ref="K14:K15"/>
    <mergeCell ref="G20:N20"/>
    <mergeCell ref="F16:F20"/>
    <mergeCell ref="F22:F29"/>
    <mergeCell ref="E1:R6"/>
    <mergeCell ref="E8:T8"/>
    <mergeCell ref="E12:T12"/>
    <mergeCell ref="E9:T9"/>
    <mergeCell ref="G30:N30"/>
    <mergeCell ref="F31:N31"/>
    <mergeCell ref="E10:T10"/>
    <mergeCell ref="Q14:Q15"/>
    <mergeCell ref="F21:N21"/>
    <mergeCell ref="L14:L15"/>
    <mergeCell ref="M14:M15"/>
    <mergeCell ref="Z14:Z15"/>
    <mergeCell ref="A16:A31"/>
    <mergeCell ref="E22:E31"/>
    <mergeCell ref="B16:B31"/>
    <mergeCell ref="E14:E15"/>
    <mergeCell ref="B14:B15"/>
    <mergeCell ref="D14:D15"/>
    <mergeCell ref="F42:F48"/>
    <mergeCell ref="F50:F57"/>
    <mergeCell ref="F41:P41"/>
    <mergeCell ref="F34:F40"/>
    <mergeCell ref="G33:I33"/>
    <mergeCell ref="F32:F33"/>
    <mergeCell ref="G82:P82"/>
    <mergeCell ref="E50:E59"/>
    <mergeCell ref="F49:I49"/>
    <mergeCell ref="F58:I58"/>
    <mergeCell ref="F66:I66"/>
    <mergeCell ref="F76:I76"/>
    <mergeCell ref="F78:I78"/>
    <mergeCell ref="F60:F65"/>
    <mergeCell ref="F67:F75"/>
    <mergeCell ref="F81:F82"/>
    <mergeCell ref="AA14:AA15"/>
    <mergeCell ref="V150:W150"/>
    <mergeCell ref="V151:W151"/>
    <mergeCell ref="F123:P123"/>
    <mergeCell ref="U151:U152"/>
    <mergeCell ref="U14:U15"/>
    <mergeCell ref="G14:G15"/>
    <mergeCell ref="E150:T150"/>
    <mergeCell ref="A145:P145"/>
    <mergeCell ref="F116:P116"/>
    <mergeCell ref="A80:P80"/>
    <mergeCell ref="F79:P79"/>
    <mergeCell ref="F59:P59"/>
    <mergeCell ref="E60:E79"/>
    <mergeCell ref="D16:D21"/>
    <mergeCell ref="C16:C31"/>
    <mergeCell ref="D60:D79"/>
    <mergeCell ref="E117:E144"/>
    <mergeCell ref="E103:E116"/>
    <mergeCell ref="Y14:Y15"/>
    <mergeCell ref="E84:E102"/>
    <mergeCell ref="V14:W14"/>
    <mergeCell ref="X14:X15"/>
    <mergeCell ref="F115:P115"/>
  </mergeCells>
  <hyperlinks>
    <hyperlink ref="M22" r:id="rId1"/>
    <hyperlink ref="M89" r:id="rId2"/>
    <hyperlink ref="M96" r:id="rId3"/>
    <hyperlink ref="M108" r:id="rId4"/>
    <hyperlink ref="M113" r:id="rId5"/>
    <hyperlink ref="M114" r:id="rId6"/>
    <hyperlink ref="M117" r:id="rId7"/>
    <hyperlink ref="M126" r:id="rId8"/>
    <hyperlink ref="M136" r:id="rId9"/>
    <hyperlink ref="M166" r:id="rId10"/>
    <hyperlink ref="M167" r:id="rId11"/>
    <hyperlink ref="M171" r:id="rId12"/>
    <hyperlink ref="M112" r:id="rId13"/>
    <hyperlink ref="M97" r:id="rId14"/>
    <hyperlink ref="M98" r:id="rId15"/>
  </hyperlinks>
  <printOptions horizontalCentered="1" verticalCentered="1"/>
  <pageMargins left="0.23622047244094491" right="0.23622047244094491" top="0.35433070866141736" bottom="0.74803149606299213" header="0.11811023622047245" footer="0.31496062992125984"/>
  <pageSetup paperSize="14" scale="27" fitToHeight="8" orientation="landscape" r:id="rId16"/>
  <headerFooter>
    <oddFooter>&amp;LElaboró: Oficina Asesora de Planeación Martha Quintero B&amp;C&amp;P
De Modifica de acuerdo al Memorando No. 1634 de 20 de Noviembre de 2017&amp;RVersión No.6</oddFooter>
  </headerFooter>
  <rowBreaks count="9" manualBreakCount="9">
    <brk id="31" max="30" man="1"/>
    <brk id="49" max="30" man="1"/>
    <brk id="59" max="30" man="1"/>
    <brk id="80" max="30" man="1"/>
    <brk id="102" max="30" man="1"/>
    <brk id="116" max="30" man="1"/>
    <brk id="146" max="16383" man="1"/>
    <brk id="165" max="30" man="1"/>
    <brk id="183" max="30" man="1"/>
  </rowBreaks>
  <drawing r:id="rId17"/>
  <legacyDrawing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W117"/>
  <sheetViews>
    <sheetView topLeftCell="O114" zoomScale="89" zoomScaleNormal="89" workbookViewId="0">
      <selection activeCell="Y117" sqref="Y117"/>
    </sheetView>
  </sheetViews>
  <sheetFormatPr baseColWidth="10" defaultColWidth="24.140625" defaultRowHeight="11.25" x14ac:dyDescent="0.25"/>
  <cols>
    <col min="1" max="6" width="0" style="96" hidden="1" customWidth="1"/>
    <col min="7" max="7" width="12" style="96" customWidth="1"/>
    <col min="8" max="8" width="24.140625" style="96" hidden="1" customWidth="1"/>
    <col min="9" max="9" width="24.140625" style="96"/>
    <col min="10" max="10" width="9.85546875" style="96" customWidth="1"/>
    <col min="11" max="11" width="14.28515625" style="96" customWidth="1"/>
    <col min="12" max="13" width="8.140625" style="96" customWidth="1"/>
    <col min="14" max="15" width="8.85546875" style="96" customWidth="1"/>
    <col min="16" max="16" width="8.28515625" style="96" customWidth="1"/>
    <col min="17" max="17" width="10.85546875" style="96" hidden="1" customWidth="1"/>
    <col min="18" max="18" width="12.7109375" style="96" customWidth="1"/>
    <col min="19" max="19" width="16" style="96" customWidth="1"/>
    <col min="20" max="20" width="18.140625" style="96" customWidth="1"/>
    <col min="21" max="21" width="15" style="96" customWidth="1"/>
    <col min="22" max="22" width="13.7109375" style="96" customWidth="1"/>
    <col min="23" max="23" width="15.140625" style="96" customWidth="1"/>
    <col min="24" max="24" width="13.85546875" style="96" customWidth="1"/>
    <col min="25" max="25" width="14.7109375" style="96" customWidth="1"/>
    <col min="26" max="28" width="14.42578125" style="96" customWidth="1"/>
    <col min="29" max="29" width="10" style="96" customWidth="1"/>
    <col min="30" max="30" width="54.5703125" style="96" customWidth="1"/>
    <col min="31" max="16384" width="24.140625" style="96"/>
  </cols>
  <sheetData>
    <row r="2" spans="1:31" ht="33.75" x14ac:dyDescent="0.25">
      <c r="A2" s="110" t="s">
        <v>155</v>
      </c>
      <c r="B2" s="110" t="s">
        <v>156</v>
      </c>
      <c r="C2" s="110" t="s">
        <v>157</v>
      </c>
      <c r="D2" s="110" t="s">
        <v>158</v>
      </c>
      <c r="E2" s="110" t="s">
        <v>159</v>
      </c>
      <c r="F2" s="111" t="s">
        <v>25</v>
      </c>
      <c r="G2" s="111" t="s">
        <v>183</v>
      </c>
      <c r="H2" s="111" t="s">
        <v>289</v>
      </c>
      <c r="I2" s="111" t="s">
        <v>6</v>
      </c>
      <c r="J2" s="111" t="s">
        <v>7</v>
      </c>
      <c r="K2" s="111" t="s">
        <v>8</v>
      </c>
      <c r="L2" s="111" t="s">
        <v>250</v>
      </c>
      <c r="M2" s="111" t="s">
        <v>502</v>
      </c>
      <c r="N2" s="111" t="s">
        <v>10</v>
      </c>
      <c r="O2" s="111" t="s">
        <v>516</v>
      </c>
      <c r="P2" s="111" t="s">
        <v>11</v>
      </c>
      <c r="Q2" s="111" t="s">
        <v>12</v>
      </c>
      <c r="R2" s="111" t="s">
        <v>217</v>
      </c>
      <c r="S2" s="112" t="s">
        <v>1</v>
      </c>
      <c r="T2" s="113" t="s">
        <v>2</v>
      </c>
      <c r="U2" s="114" t="s">
        <v>3</v>
      </c>
      <c r="V2" s="115" t="s">
        <v>249</v>
      </c>
      <c r="W2" s="74" t="s">
        <v>246</v>
      </c>
      <c r="X2" s="74" t="s">
        <v>247</v>
      </c>
      <c r="Y2" s="74" t="s">
        <v>248</v>
      </c>
      <c r="Z2" s="74" t="s">
        <v>222</v>
      </c>
      <c r="AA2" s="74" t="s">
        <v>512</v>
      </c>
      <c r="AB2" s="74" t="s">
        <v>515</v>
      </c>
      <c r="AC2" s="116" t="s">
        <v>223</v>
      </c>
      <c r="AD2" s="116" t="s">
        <v>224</v>
      </c>
    </row>
    <row r="3" spans="1:31" ht="82.5" customHeight="1" x14ac:dyDescent="0.25">
      <c r="A3" s="59" t="s">
        <v>163</v>
      </c>
      <c r="B3" s="59" t="s">
        <v>147</v>
      </c>
      <c r="C3" s="59" t="s">
        <v>132</v>
      </c>
      <c r="D3" s="59" t="s">
        <v>245</v>
      </c>
      <c r="E3" s="59" t="s">
        <v>244</v>
      </c>
      <c r="F3" s="97" t="str">
        <f>+'Plan de Adquisiciones '!F16</f>
        <v>Diseño del Sistema de seguimiento a la política educativa distrital en los contextos escolares - Fase 2.</v>
      </c>
      <c r="G3" s="98">
        <f>+'Plan de Adquisiciones '!G16</f>
        <v>164</v>
      </c>
      <c r="H3" s="97">
        <f>+'Plan de Adquisiciones '!H16</f>
        <v>50</v>
      </c>
      <c r="I3" s="97" t="str">
        <f>+'Plan de Adquisiciones '!I16</f>
        <v>Prestación de servicios profesionales para  realizar la  consolidación de referentes conceptuales del Sistema de Seguimiento a la política educativa distrital en los contextos escolares, Fase 2</v>
      </c>
      <c r="J3" s="97">
        <f>+'Plan de Adquisiciones '!J16</f>
        <v>80111621</v>
      </c>
      <c r="K3" s="97" t="str">
        <f>+'Plan de Adquisiciones '!K16</f>
        <v>Profesional 222-07</v>
      </c>
      <c r="L3" s="97" t="str">
        <f>+'Plan de Adquisiciones '!L16</f>
        <v>Jorge Palacio</v>
      </c>
      <c r="M3" s="97" t="s">
        <v>503</v>
      </c>
      <c r="N3" s="97" t="str">
        <f>+'Plan de Adquisiciones '!N16</f>
        <v>Febrero</v>
      </c>
      <c r="O3" s="97"/>
      <c r="P3" s="98">
        <f>+'Plan de Adquisiciones '!O16</f>
        <v>9</v>
      </c>
      <c r="Q3" s="97" t="str">
        <f>+'Plan de Adquisiciones '!P16</f>
        <v xml:space="preserve"> Contratación Directa</v>
      </c>
      <c r="R3" s="97" t="str">
        <f>+'Plan de Adquisiciones '!Q16</f>
        <v>Directa</v>
      </c>
      <c r="S3" s="107">
        <f>+'Plan de Adquisiciones '!R16</f>
        <v>73033983</v>
      </c>
      <c r="T3" s="107">
        <f>+'Plan de Adquisiciones '!S16</f>
        <v>0</v>
      </c>
      <c r="U3" s="107">
        <f>+'Plan de Adquisiciones '!T16</f>
        <v>73033983</v>
      </c>
      <c r="V3" s="98">
        <f>+'Plan de Adquisiciones '!U16</f>
        <v>1</v>
      </c>
      <c r="W3" s="107">
        <f>+'Plan de Adquisiciones '!V16</f>
        <v>73033983</v>
      </c>
      <c r="X3" s="107">
        <f>+'Plan de Adquisiciones '!W16</f>
        <v>0</v>
      </c>
      <c r="Y3" s="107">
        <f>+'Plan de Adquisiciones '!X16</f>
        <v>73033983</v>
      </c>
      <c r="Z3" s="106">
        <f>+'Plan de Adquisiciones '!Y16</f>
        <v>42794</v>
      </c>
      <c r="AA3" s="106" t="s">
        <v>51</v>
      </c>
      <c r="AB3" s="106"/>
      <c r="AC3" s="97">
        <f>+'Plan de Adquisiciones '!Z16</f>
        <v>18</v>
      </c>
      <c r="AD3" s="108" t="str">
        <f>+'Plan de Adquisiciones '!AA16</f>
        <v>OMAR PULIDO CHAVES</v>
      </c>
    </row>
    <row r="4" spans="1:31" ht="90" x14ac:dyDescent="0.25">
      <c r="A4" s="59" t="s">
        <v>163</v>
      </c>
      <c r="B4" s="59" t="s">
        <v>147</v>
      </c>
      <c r="C4" s="59" t="s">
        <v>132</v>
      </c>
      <c r="D4" s="59" t="s">
        <v>245</v>
      </c>
      <c r="E4" s="59" t="s">
        <v>244</v>
      </c>
      <c r="F4" s="97">
        <f>+'Plan de Adquisiciones '!F17</f>
        <v>0</v>
      </c>
      <c r="G4" s="98">
        <f>+'Plan de Adquisiciones '!G17</f>
        <v>165</v>
      </c>
      <c r="H4" s="97">
        <f>+'Plan de Adquisiciones '!H17</f>
        <v>51</v>
      </c>
      <c r="I4" s="97" t="str">
        <f>+'Plan de Adquisiciones '!I17</f>
        <v>Prestación de servicios profesionales para  realizar la  consolidación de referentes metodológicos, técnicos e instrumentales del Sistema de Seguimiento a la política educativa distrital en los contextos escolares, Fase 2</v>
      </c>
      <c r="J4" s="97">
        <f>+'Plan de Adquisiciones '!J17</f>
        <v>80111621</v>
      </c>
      <c r="K4" s="97" t="str">
        <f>+'Plan de Adquisiciones '!K17</f>
        <v>Profesional 222-07</v>
      </c>
      <c r="L4" s="97" t="str">
        <f>+'Plan de Adquisiciones '!L17</f>
        <v>Jorge Palacio</v>
      </c>
      <c r="M4" s="97" t="s">
        <v>503</v>
      </c>
      <c r="N4" s="97" t="str">
        <f>+'Plan de Adquisiciones '!N17</f>
        <v>Febrero</v>
      </c>
      <c r="O4" s="97"/>
      <c r="P4" s="98">
        <f>+'Plan de Adquisiciones '!O17</f>
        <v>9</v>
      </c>
      <c r="Q4" s="97" t="str">
        <f>+'Plan de Adquisiciones '!P17</f>
        <v xml:space="preserve"> Contratación Directa</v>
      </c>
      <c r="R4" s="97" t="str">
        <f>+'Plan de Adquisiciones '!Q17</f>
        <v>Directa</v>
      </c>
      <c r="S4" s="107">
        <f>+'Plan de Adquisiciones '!R17</f>
        <v>66394530</v>
      </c>
      <c r="T4" s="107">
        <f>+'Plan de Adquisiciones '!S17</f>
        <v>0</v>
      </c>
      <c r="U4" s="107">
        <f>+'Plan de Adquisiciones '!T17</f>
        <v>66394530</v>
      </c>
      <c r="V4" s="98">
        <f>+'Plan de Adquisiciones '!U17</f>
        <v>1</v>
      </c>
      <c r="W4" s="107">
        <f>+'Plan de Adquisiciones '!V17</f>
        <v>66394530</v>
      </c>
      <c r="X4" s="107">
        <f>+'Plan de Adquisiciones '!W17</f>
        <v>0</v>
      </c>
      <c r="Y4" s="107">
        <f>+'Plan de Adquisiciones '!X17</f>
        <v>66394530</v>
      </c>
      <c r="Z4" s="106">
        <f>+'Plan de Adquisiciones '!Y17</f>
        <v>42794</v>
      </c>
      <c r="AA4" s="106" t="s">
        <v>51</v>
      </c>
      <c r="AB4" s="106"/>
      <c r="AC4" s="97">
        <f>+'Plan de Adquisiciones '!Z17</f>
        <v>19</v>
      </c>
      <c r="AD4" s="108" t="str">
        <f>+'Plan de Adquisiciones '!AA17</f>
        <v>GABRIEL TORRES VARGAS</v>
      </c>
    </row>
    <row r="5" spans="1:31" ht="123.75" x14ac:dyDescent="0.25">
      <c r="A5" s="59" t="s">
        <v>163</v>
      </c>
      <c r="B5" s="59" t="s">
        <v>147</v>
      </c>
      <c r="C5" s="59" t="s">
        <v>132</v>
      </c>
      <c r="D5" s="59" t="s">
        <v>245</v>
      </c>
      <c r="E5" s="59" t="s">
        <v>244</v>
      </c>
      <c r="F5" s="97">
        <f>+'Plan de Adquisiciones '!F18</f>
        <v>0</v>
      </c>
      <c r="G5" s="98">
        <f>+'Plan de Adquisiciones '!G18</f>
        <v>204</v>
      </c>
      <c r="H5" s="97">
        <f>+'Plan de Adquisiciones '!H18</f>
        <v>52</v>
      </c>
      <c r="I5" s="97" t="str">
        <f>+'Plan de Adquisiciones '!I18</f>
        <v>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v>
      </c>
      <c r="J5" s="97" t="str">
        <f>+'Plan de Adquisiciones '!J18</f>
        <v>80111601;82111902;82111901</v>
      </c>
      <c r="K5" s="97" t="str">
        <f>+'Plan de Adquisiciones '!K18</f>
        <v>Subdirector Académico</v>
      </c>
      <c r="L5" s="97" t="str">
        <f>+'Plan de Adquisiciones '!L18</f>
        <v>Juliana Gutiérrez</v>
      </c>
      <c r="M5" s="97" t="s">
        <v>503</v>
      </c>
      <c r="N5" s="97" t="str">
        <f>+'Plan de Adquisiciones '!N18</f>
        <v>Abril</v>
      </c>
      <c r="O5" s="97"/>
      <c r="P5" s="98">
        <f>+'Plan de Adquisiciones '!O18</f>
        <v>8</v>
      </c>
      <c r="Q5" s="97" t="str">
        <f>+'Plan de Adquisiciones '!P18</f>
        <v xml:space="preserve"> Contratación Directa</v>
      </c>
      <c r="R5" s="97" t="str">
        <f>+'Plan de Adquisiciones '!Q18</f>
        <v>Directa</v>
      </c>
      <c r="S5" s="107">
        <f>+'Plan de Adquisiciones '!R18</f>
        <v>47113721</v>
      </c>
      <c r="T5" s="107">
        <f>+'Plan de Adquisiciones '!S18</f>
        <v>0</v>
      </c>
      <c r="U5" s="107">
        <f>+'Plan de Adquisiciones '!T18</f>
        <v>47113721</v>
      </c>
      <c r="V5" s="98">
        <f>+'Plan de Adquisiciones '!U18</f>
        <v>1</v>
      </c>
      <c r="W5" s="107">
        <f>+'Plan de Adquisiciones '!V18</f>
        <v>47113721</v>
      </c>
      <c r="X5" s="107">
        <f>+'Plan de Adquisiciones '!W18</f>
        <v>0</v>
      </c>
      <c r="Y5" s="107">
        <f>+'Plan de Adquisiciones '!X18</f>
        <v>47113721</v>
      </c>
      <c r="Z5" s="106">
        <f>+'Plan de Adquisiciones '!Y18</f>
        <v>42843</v>
      </c>
      <c r="AA5" s="106" t="s">
        <v>63</v>
      </c>
      <c r="AB5" s="106"/>
      <c r="AC5" s="97">
        <f>+'Plan de Adquisiciones '!Z18</f>
        <v>45</v>
      </c>
      <c r="AD5" s="108" t="str">
        <f>+'Plan de Adquisiciones '!AA18</f>
        <v>CAJA DE COMPENSACIÓN FAMILIAR COMPENSAR</v>
      </c>
    </row>
    <row r="6" spans="1:31" ht="90" x14ac:dyDescent="0.25">
      <c r="A6" s="59" t="s">
        <v>163</v>
      </c>
      <c r="B6" s="59" t="s">
        <v>147</v>
      </c>
      <c r="C6" s="59" t="s">
        <v>132</v>
      </c>
      <c r="D6" s="59" t="s">
        <v>245</v>
      </c>
      <c r="E6" s="59" t="s">
        <v>244</v>
      </c>
      <c r="F6" s="97">
        <f>+'Plan de Adquisiciones '!F19</f>
        <v>0</v>
      </c>
      <c r="G6" s="98">
        <f>+'Plan de Adquisiciones '!G19</f>
        <v>166</v>
      </c>
      <c r="H6" s="97">
        <f>+'Plan de Adquisiciones '!H19</f>
        <v>54</v>
      </c>
      <c r="I6" s="97" t="str">
        <f>+'Plan de Adquisiciones '!I19</f>
        <v>Prestación de servicios profesionales para implementar la estrategia de comunicación y gestión del conocimiento, en el marco del Diseño del Sistema de Seguimiento a la política educativa distrital en los contextos escolares, Fase 2.</v>
      </c>
      <c r="J6" s="97">
        <f>+'Plan de Adquisiciones '!J19</f>
        <v>80111601</v>
      </c>
      <c r="K6" s="97" t="str">
        <f>+'Plan de Adquisiciones '!K19</f>
        <v>Profesional Especializado 222-07</v>
      </c>
      <c r="L6" s="97" t="str">
        <f>+'Plan de Adquisiciones '!L19</f>
        <v>Jorge Palacio</v>
      </c>
      <c r="M6" s="97" t="s">
        <v>503</v>
      </c>
      <c r="N6" s="97" t="str">
        <f>+'Plan de Adquisiciones '!N19</f>
        <v>Abril</v>
      </c>
      <c r="O6" s="97"/>
      <c r="P6" s="98">
        <f>+'Plan de Adquisiciones '!O19</f>
        <v>9</v>
      </c>
      <c r="Q6" s="97" t="str">
        <f>+'Plan de Adquisiciones '!P19</f>
        <v xml:space="preserve"> Contratación Directa</v>
      </c>
      <c r="R6" s="97" t="str">
        <f>+'Plan de Adquisiciones '!Q19</f>
        <v>Directa</v>
      </c>
      <c r="S6" s="107">
        <f>+'Plan de Adquisiciones '!R19</f>
        <v>70329021</v>
      </c>
      <c r="T6" s="107">
        <f>+'Plan de Adquisiciones '!S19</f>
        <v>0</v>
      </c>
      <c r="U6" s="107">
        <f>+'Plan de Adquisiciones '!T19</f>
        <v>70329021</v>
      </c>
      <c r="V6" s="98">
        <f>+'Plan de Adquisiciones '!U19</f>
        <v>1</v>
      </c>
      <c r="W6" s="107">
        <f>+'Plan de Adquisiciones '!V19</f>
        <v>70329021</v>
      </c>
      <c r="X6" s="107">
        <f>+'Plan de Adquisiciones '!W19</f>
        <v>0</v>
      </c>
      <c r="Y6" s="107">
        <f>+'Plan de Adquisiciones '!X19</f>
        <v>70329021</v>
      </c>
      <c r="Z6" s="106">
        <f>+'Plan de Adquisiciones '!Y19</f>
        <v>42821</v>
      </c>
      <c r="AA6" s="106" t="s">
        <v>87</v>
      </c>
      <c r="AB6" s="106"/>
      <c r="AC6" s="97">
        <f>+'Plan de Adquisiciones '!Z19</f>
        <v>39</v>
      </c>
      <c r="AD6" s="108" t="str">
        <f>+'Plan de Adquisiciones '!AA19</f>
        <v>MIGUEL ANGEL VARGAS HERNANDEZ</v>
      </c>
    </row>
    <row r="7" spans="1:31" ht="78.75" x14ac:dyDescent="0.25">
      <c r="A7" s="59" t="s">
        <v>163</v>
      </c>
      <c r="B7" s="59" t="s">
        <v>147</v>
      </c>
      <c r="C7" s="59" t="s">
        <v>132</v>
      </c>
      <c r="D7" s="59" t="s">
        <v>196</v>
      </c>
      <c r="E7" s="59" t="s">
        <v>195</v>
      </c>
      <c r="F7" s="97" t="str">
        <f>+'Plan de Adquisiciones '!F22</f>
        <v>Estudio Sistema de seguimiento a la política educativa distrital en los contextos escolares -Fase 2</v>
      </c>
      <c r="G7" s="98">
        <f>+'Plan de Adquisiciones '!G22</f>
        <v>125</v>
      </c>
      <c r="H7" s="97">
        <f>+'Plan de Adquisiciones '!H22</f>
        <v>55</v>
      </c>
      <c r="I7" s="97" t="str">
        <f>+'Plan de Adquisiciones '!I22</f>
        <v>Prestación de servicios profesionales  para aplicar la metodología de Evaluación  de impacto a proyectos de investigación del IDEP Fase 2, seleccionados en la vigencia 2016.</v>
      </c>
      <c r="J7" s="97">
        <f>+'Plan de Adquisiciones '!J22</f>
        <v>80111621</v>
      </c>
      <c r="K7" s="97" t="str">
        <f>+'Plan de Adquisiciones '!K22</f>
        <v>Profesional 222-06</v>
      </c>
      <c r="L7" s="97" t="str">
        <f>+'Plan de Adquisiciones '!L22</f>
        <v>Luisa Acuña</v>
      </c>
      <c r="M7" s="97" t="s">
        <v>503</v>
      </c>
      <c r="N7" s="97" t="str">
        <f>+'Plan de Adquisiciones '!N22</f>
        <v>Febrero</v>
      </c>
      <c r="O7" s="97"/>
      <c r="P7" s="98">
        <f>+'Plan de Adquisiciones '!O22</f>
        <v>4</v>
      </c>
      <c r="Q7" s="97" t="str">
        <f>+'Plan de Adquisiciones '!P22</f>
        <v xml:space="preserve"> Contratación Directa</v>
      </c>
      <c r="R7" s="97" t="str">
        <f>+'Plan de Adquisiciones '!Q22</f>
        <v>Directa</v>
      </c>
      <c r="S7" s="107">
        <f>+'Plan de Adquisiciones '!R22</f>
        <v>26557812</v>
      </c>
      <c r="T7" s="107">
        <f>+'Plan de Adquisiciones '!S22</f>
        <v>0</v>
      </c>
      <c r="U7" s="107">
        <f>+'Plan de Adquisiciones '!T22</f>
        <v>26557812</v>
      </c>
      <c r="V7" s="98">
        <f>+'Plan de Adquisiciones '!U22</f>
        <v>1</v>
      </c>
      <c r="W7" s="107">
        <f>+'Plan de Adquisiciones '!V22</f>
        <v>26557812</v>
      </c>
      <c r="X7" s="107">
        <f>+'Plan de Adquisiciones '!W22</f>
        <v>0</v>
      </c>
      <c r="Y7" s="107">
        <f>+'Plan de Adquisiciones '!X22</f>
        <v>26557812</v>
      </c>
      <c r="Z7" s="106">
        <f>+'Plan de Adquisiciones '!Y22</f>
        <v>42793</v>
      </c>
      <c r="AA7" s="106" t="s">
        <v>51</v>
      </c>
      <c r="AB7" s="106"/>
      <c r="AC7" s="97">
        <f>+'Plan de Adquisiciones '!Z22</f>
        <v>8</v>
      </c>
      <c r="AD7" s="108" t="str">
        <f>+'Plan de Adquisiciones '!AA22</f>
        <v>GLADYS AMAYA ROSARIO</v>
      </c>
    </row>
    <row r="8" spans="1:31" ht="56.25" x14ac:dyDescent="0.25">
      <c r="A8" s="59" t="s">
        <v>163</v>
      </c>
      <c r="B8" s="59" t="s">
        <v>147</v>
      </c>
      <c r="C8" s="59" t="s">
        <v>132</v>
      </c>
      <c r="D8" s="59" t="s">
        <v>196</v>
      </c>
      <c r="E8" s="59" t="s">
        <v>195</v>
      </c>
      <c r="F8" s="97" t="e">
        <f>+'Plan de Adquisiciones '!#REF!</f>
        <v>#REF!</v>
      </c>
      <c r="G8" s="98" t="e">
        <f>+'Plan de Adquisiciones '!#REF!</f>
        <v>#REF!</v>
      </c>
      <c r="H8" s="97" t="e">
        <f>+'Plan de Adquisiciones '!#REF!</f>
        <v>#REF!</v>
      </c>
      <c r="I8" s="97" t="e">
        <f>+'Plan de Adquisiciones '!#REF!</f>
        <v>#REF!</v>
      </c>
      <c r="J8" s="97" t="e">
        <f>+'Plan de Adquisiciones '!#REF!</f>
        <v>#REF!</v>
      </c>
      <c r="K8" s="97" t="e">
        <f>+'Plan de Adquisiciones '!#REF!</f>
        <v>#REF!</v>
      </c>
      <c r="L8" s="97" t="e">
        <f>+'Plan de Adquisiciones '!#REF!</f>
        <v>#REF!</v>
      </c>
      <c r="M8" s="97" t="s">
        <v>503</v>
      </c>
      <c r="N8" s="97" t="e">
        <f>+'Plan de Adquisiciones '!#REF!</f>
        <v>#REF!</v>
      </c>
      <c r="O8" s="97"/>
      <c r="P8" s="98" t="e">
        <f>+'Plan de Adquisiciones '!#REF!</f>
        <v>#REF!</v>
      </c>
      <c r="Q8" s="97" t="e">
        <f>+'Plan de Adquisiciones '!#REF!</f>
        <v>#REF!</v>
      </c>
      <c r="R8" s="97" t="e">
        <f>+'Plan de Adquisiciones '!#REF!</f>
        <v>#REF!</v>
      </c>
      <c r="S8" s="107" t="e">
        <f>+'Plan de Adquisiciones '!#REF!</f>
        <v>#REF!</v>
      </c>
      <c r="T8" s="107" t="e">
        <f>+'Plan de Adquisiciones '!#REF!</f>
        <v>#REF!</v>
      </c>
      <c r="U8" s="107" t="e">
        <f>+'Plan de Adquisiciones '!#REF!</f>
        <v>#REF!</v>
      </c>
      <c r="V8" s="98" t="e">
        <f>+'Plan de Adquisiciones '!#REF!</f>
        <v>#REF!</v>
      </c>
      <c r="W8" s="107" t="e">
        <f>+'Plan de Adquisiciones '!#REF!</f>
        <v>#REF!</v>
      </c>
      <c r="X8" s="107" t="e">
        <f>+'Plan de Adquisiciones '!#REF!</f>
        <v>#REF!</v>
      </c>
      <c r="Y8" s="107" t="e">
        <f>+'Plan de Adquisiciones '!#REF!</f>
        <v>#REF!</v>
      </c>
      <c r="Z8" s="106"/>
      <c r="AA8" s="106"/>
      <c r="AB8" s="106"/>
      <c r="AC8" s="97" t="e">
        <f>+'Plan de Adquisiciones '!#REF!</f>
        <v>#REF!</v>
      </c>
      <c r="AD8" s="108" t="e">
        <f>+'Plan de Adquisiciones '!#REF!</f>
        <v>#REF!</v>
      </c>
    </row>
    <row r="9" spans="1:31" ht="67.5" x14ac:dyDescent="0.25">
      <c r="A9" s="59"/>
      <c r="B9" s="59"/>
      <c r="C9" s="59"/>
      <c r="D9" s="59"/>
      <c r="E9" s="59"/>
      <c r="F9" s="97"/>
      <c r="G9" s="98">
        <f>+'Plan de Adquisiciones '!G23</f>
        <v>286</v>
      </c>
      <c r="H9" s="97"/>
      <c r="I9" s="97" t="str">
        <f>+'Plan de Adquisiciones '!I23</f>
        <v xml:space="preserve">Prestación de servicios profesionales para realizar la revisión, ajuste y validación de la metodología de Evaluación de Impacto (MEI) a proyectos de investigación del IDEP. </v>
      </c>
      <c r="J9" s="97">
        <f>+'Plan de Adquisiciones '!J23</f>
        <v>80111621</v>
      </c>
      <c r="K9" s="97" t="str">
        <f>+'Plan de Adquisiciones '!K23</f>
        <v>Asesor 105-03</v>
      </c>
      <c r="L9" s="97">
        <f>+'Plan de Adquisiciones '!L23</f>
        <v>0</v>
      </c>
      <c r="M9" s="97" t="s">
        <v>503</v>
      </c>
      <c r="N9" s="97" t="str">
        <f>+'Plan de Adquisiciones '!N23</f>
        <v>Agosto</v>
      </c>
      <c r="O9" s="97"/>
      <c r="P9" s="98">
        <f>+'Plan de Adquisiciones '!O23</f>
        <v>5</v>
      </c>
      <c r="Q9" s="97" t="str">
        <f>+'Plan de Adquisiciones '!P23</f>
        <v xml:space="preserve"> Contratación Directa</v>
      </c>
      <c r="R9" s="97">
        <f>+'Plan de Adquisiciones '!Q23</f>
        <v>0</v>
      </c>
      <c r="S9" s="107">
        <f>+'Plan de Adquisiciones '!R23</f>
        <v>33197265</v>
      </c>
      <c r="T9" s="107">
        <f>+'Plan de Adquisiciones '!S23</f>
        <v>0</v>
      </c>
      <c r="U9" s="107">
        <f>+'Plan de Adquisiciones '!T23</f>
        <v>33197265</v>
      </c>
      <c r="V9" s="98">
        <f>+'Plan de Adquisiciones '!U23</f>
        <v>0</v>
      </c>
      <c r="W9" s="107">
        <f>+'Plan de Adquisiciones '!V23</f>
        <v>33197265</v>
      </c>
      <c r="X9" s="107"/>
      <c r="Y9" s="107"/>
      <c r="Z9" s="106"/>
      <c r="AA9" s="106"/>
      <c r="AB9" s="106"/>
      <c r="AC9" s="97"/>
      <c r="AD9" s="108"/>
    </row>
    <row r="10" spans="1:31" ht="123.75" x14ac:dyDescent="0.25">
      <c r="A10" s="59" t="s">
        <v>163</v>
      </c>
      <c r="B10" s="59" t="s">
        <v>147</v>
      </c>
      <c r="C10" s="59" t="s">
        <v>132</v>
      </c>
      <c r="D10" s="59" t="s">
        <v>196</v>
      </c>
      <c r="E10" s="59" t="s">
        <v>195</v>
      </c>
      <c r="F10" s="97">
        <f>+'Plan de Adquisiciones '!F24</f>
        <v>0</v>
      </c>
      <c r="G10" s="98">
        <f>+'Plan de Adquisiciones '!G24</f>
        <v>167</v>
      </c>
      <c r="H10" s="97">
        <f>+'Plan de Adquisiciones '!H24</f>
        <v>57</v>
      </c>
      <c r="I10" s="97" t="str">
        <f>+'Plan de Adquisiciones '!I24</f>
        <v xml:space="preserve">Prestación de servicios profesionales para realizar el análisis cuantitativo de  la consulta a las fuentes primarias y el análisis documental de  fuentes secundarias del programa Calidad Educativa para Todos, en la primera aplicación del  Sistema de seguimiento a la política educativa distrital en los contextos escolares, Fase 2 </v>
      </c>
      <c r="J10" s="97">
        <f>+'Plan de Adquisiciones '!J24</f>
        <v>80111621</v>
      </c>
      <c r="K10" s="97" t="str">
        <f>+'Plan de Adquisiciones '!K24</f>
        <v>Profesional 222-07</v>
      </c>
      <c r="L10" s="97" t="str">
        <f>+'Plan de Adquisiciones '!L24</f>
        <v>Jorge Palacio</v>
      </c>
      <c r="M10" s="97" t="s">
        <v>503</v>
      </c>
      <c r="N10" s="97" t="str">
        <f>+'Plan de Adquisiciones '!N24</f>
        <v>Febrero</v>
      </c>
      <c r="O10" s="97"/>
      <c r="P10" s="98">
        <f>+'Plan de Adquisiciones '!O24</f>
        <v>9</v>
      </c>
      <c r="Q10" s="97" t="str">
        <f>+'Plan de Adquisiciones '!P24</f>
        <v xml:space="preserve"> Contratación Directa</v>
      </c>
      <c r="R10" s="97" t="str">
        <f>+'Plan de Adquisiciones '!Q24</f>
        <v>Directa</v>
      </c>
      <c r="S10" s="107">
        <f>+'Plan de Adquisiciones '!R24</f>
        <v>59755077</v>
      </c>
      <c r="T10" s="107">
        <f>+'Plan de Adquisiciones '!S24</f>
        <v>0</v>
      </c>
      <c r="U10" s="107">
        <f>+'Plan de Adquisiciones '!T24</f>
        <v>59755077</v>
      </c>
      <c r="V10" s="98">
        <f>+'Plan de Adquisiciones '!U24</f>
        <v>1</v>
      </c>
      <c r="W10" s="107">
        <f>+'Plan de Adquisiciones '!V24</f>
        <v>59755077</v>
      </c>
      <c r="X10" s="107">
        <f>+'Plan de Adquisiciones '!W24</f>
        <v>0</v>
      </c>
      <c r="Y10" s="107">
        <f>+'Plan de Adquisiciones '!X24</f>
        <v>59755077</v>
      </c>
      <c r="Z10" s="106">
        <f>+'Plan de Adquisiciones '!Y24</f>
        <v>42794</v>
      </c>
      <c r="AA10" s="106" t="s">
        <v>51</v>
      </c>
      <c r="AB10" s="106"/>
      <c r="AC10" s="97">
        <f>+'Plan de Adquisiciones '!Z24</f>
        <v>16</v>
      </c>
      <c r="AD10" s="108" t="str">
        <f>+'Plan de Adquisiciones '!AA24</f>
        <v>JULIAN ROSERO NAVARRETE</v>
      </c>
    </row>
    <row r="11" spans="1:31" ht="123.75" x14ac:dyDescent="0.25">
      <c r="A11" s="59" t="s">
        <v>163</v>
      </c>
      <c r="B11" s="59" t="s">
        <v>147</v>
      </c>
      <c r="C11" s="59" t="s">
        <v>132</v>
      </c>
      <c r="D11" s="59" t="s">
        <v>196</v>
      </c>
      <c r="E11" s="59" t="s">
        <v>195</v>
      </c>
      <c r="F11" s="97">
        <f>+'Plan de Adquisiciones '!F25</f>
        <v>0</v>
      </c>
      <c r="G11" s="98">
        <f>+'Plan de Adquisiciones '!G25</f>
        <v>168</v>
      </c>
      <c r="H11" s="97">
        <f>+'Plan de Adquisiciones '!H25</f>
        <v>60</v>
      </c>
      <c r="I11" s="97" t="str">
        <f>+'Plan de Adquisiciones '!I25</f>
        <v>Prestación de servicios profesionales para realizar el análisis cualitativo de  la consulta a las fuentes primarias y el análisis documental de  fuentes secundarias del programa Calidad Educativa para Todos, en la primera aplicación del  Sistema de seguimiento a la política educativa distrital en los contextos escolares, Fase 2</v>
      </c>
      <c r="J11" s="97">
        <f>+'Plan de Adquisiciones '!J25</f>
        <v>80111621</v>
      </c>
      <c r="K11" s="97" t="str">
        <f>+'Plan de Adquisiciones '!K25</f>
        <v>Profesional 222-07</v>
      </c>
      <c r="L11" s="97" t="str">
        <f>+'Plan de Adquisiciones '!L25</f>
        <v>Jorge Palacio</v>
      </c>
      <c r="M11" s="97" t="s">
        <v>503</v>
      </c>
      <c r="N11" s="97" t="str">
        <f>+'Plan de Adquisiciones '!N25</f>
        <v>Febrero</v>
      </c>
      <c r="O11" s="97"/>
      <c r="P11" s="98">
        <f>+'Plan de Adquisiciones '!O25</f>
        <v>9</v>
      </c>
      <c r="Q11" s="97" t="str">
        <f>+'Plan de Adquisiciones '!P25</f>
        <v xml:space="preserve"> Contratación Directa</v>
      </c>
      <c r="R11" s="97" t="str">
        <f>+'Plan de Adquisiciones '!Q25</f>
        <v>Directa</v>
      </c>
      <c r="S11" s="107">
        <f>+'Plan de Adquisiciones '!R25</f>
        <v>59755077</v>
      </c>
      <c r="T11" s="107">
        <f>+'Plan de Adquisiciones '!S25</f>
        <v>0</v>
      </c>
      <c r="U11" s="107">
        <f>+'Plan de Adquisiciones '!T25</f>
        <v>59755077</v>
      </c>
      <c r="V11" s="98">
        <f>+'Plan de Adquisiciones '!U25</f>
        <v>1</v>
      </c>
      <c r="W11" s="107">
        <f>+'Plan de Adquisiciones '!V25</f>
        <v>59755077</v>
      </c>
      <c r="X11" s="107">
        <f>+'Plan de Adquisiciones '!W25</f>
        <v>0</v>
      </c>
      <c r="Y11" s="107">
        <f>+'Plan de Adquisiciones '!X25</f>
        <v>59755077</v>
      </c>
      <c r="Z11" s="106">
        <f>+'Plan de Adquisiciones '!Y25</f>
        <v>42794</v>
      </c>
      <c r="AA11" s="106" t="s">
        <v>51</v>
      </c>
      <c r="AB11" s="106"/>
      <c r="AC11" s="97">
        <f>+'Plan de Adquisiciones '!Z25</f>
        <v>15</v>
      </c>
      <c r="AD11" s="108" t="str">
        <f>+'Plan de Adquisiciones '!AA25</f>
        <v>LUIS ROJAS GARCIA</v>
      </c>
    </row>
    <row r="12" spans="1:31" ht="146.25" x14ac:dyDescent="0.25">
      <c r="A12" s="59" t="s">
        <v>163</v>
      </c>
      <c r="B12" s="59" t="s">
        <v>147</v>
      </c>
      <c r="C12" s="59" t="s">
        <v>132</v>
      </c>
      <c r="D12" s="59" t="s">
        <v>196</v>
      </c>
      <c r="E12" s="59" t="s">
        <v>195</v>
      </c>
      <c r="F12" s="97">
        <f>+'Plan de Adquisiciones '!F26</f>
        <v>0</v>
      </c>
      <c r="G12" s="98">
        <f>+'Plan de Adquisiciones '!G26</f>
        <v>173</v>
      </c>
      <c r="H12" s="97">
        <f>+'Plan de Adquisiciones '!H26</f>
        <v>0</v>
      </c>
      <c r="I12" s="97" t="str">
        <f>+'Plan de Adquisiciones '!I26</f>
        <v>Prestación de servicios profesionales para realizar el análisis cualitativo y cuantitativo de  la consulta a las fuentes primarias y el análisis documental de  fuentes secundarias del programa Equipo para el reencuentro, la reconciliación y la paz, en la primera aplicación del  Sistema de seguimiento a la política educativa distrital en los contextos escolares, Fase 2</v>
      </c>
      <c r="J12" s="97">
        <f>+'Plan de Adquisiciones '!J26</f>
        <v>80111622</v>
      </c>
      <c r="K12" s="97" t="str">
        <f>+'Plan de Adquisiciones '!K26</f>
        <v>Profesional 222-07</v>
      </c>
      <c r="L12" s="97" t="str">
        <f>+'Plan de Adquisiciones '!L26</f>
        <v>Jorge Palacio</v>
      </c>
      <c r="M12" s="97" t="s">
        <v>503</v>
      </c>
      <c r="N12" s="97" t="str">
        <f>+'Plan de Adquisiciones '!N26</f>
        <v>Febrero</v>
      </c>
      <c r="O12" s="97"/>
      <c r="P12" s="98">
        <f>+'Plan de Adquisiciones '!O26</f>
        <v>9</v>
      </c>
      <c r="Q12" s="97" t="str">
        <f>+'Plan de Adquisiciones '!P26</f>
        <v xml:space="preserve"> Contratación Directa</v>
      </c>
      <c r="R12" s="97" t="str">
        <f>+'Plan de Adquisiciones '!Q26</f>
        <v>Directa</v>
      </c>
      <c r="S12" s="107">
        <f>+'Plan de Adquisiciones '!R26</f>
        <v>59755077</v>
      </c>
      <c r="T12" s="107">
        <f>+'Plan de Adquisiciones '!S26</f>
        <v>0</v>
      </c>
      <c r="U12" s="107">
        <f>+'Plan de Adquisiciones '!T26</f>
        <v>59755077</v>
      </c>
      <c r="V12" s="98">
        <f>+'Plan de Adquisiciones '!U26</f>
        <v>1</v>
      </c>
      <c r="W12" s="107">
        <f>+'Plan de Adquisiciones '!V26</f>
        <v>59755077</v>
      </c>
      <c r="X12" s="107">
        <f>+'Plan de Adquisiciones '!W26</f>
        <v>0</v>
      </c>
      <c r="Y12" s="107">
        <f>+'Plan de Adquisiciones '!X26</f>
        <v>59755077</v>
      </c>
      <c r="Z12" s="106">
        <f>+'Plan de Adquisiciones '!Y26</f>
        <v>42794</v>
      </c>
      <c r="AA12" s="106" t="s">
        <v>51</v>
      </c>
      <c r="AB12" s="106"/>
      <c r="AC12" s="97">
        <f>+'Plan de Adquisiciones '!Z26</f>
        <v>14</v>
      </c>
      <c r="AD12" s="108" t="str">
        <f>+'Plan de Adquisiciones '!AA26</f>
        <v>LINA VARGAS ALVAREZ</v>
      </c>
    </row>
    <row r="13" spans="1:31" ht="90" x14ac:dyDescent="0.25">
      <c r="A13" s="59" t="s">
        <v>163</v>
      </c>
      <c r="B13" s="59" t="s">
        <v>147</v>
      </c>
      <c r="C13" s="59" t="s">
        <v>132</v>
      </c>
      <c r="D13" s="59" t="s">
        <v>196</v>
      </c>
      <c r="E13" s="59" t="s">
        <v>195</v>
      </c>
      <c r="F13" s="97">
        <f>+'Plan de Adquisiciones '!F27</f>
        <v>0</v>
      </c>
      <c r="G13" s="98">
        <f>+'Plan de Adquisiciones '!G27</f>
        <v>51</v>
      </c>
      <c r="H13" s="97">
        <f>+'Plan de Adquisiciones '!H27</f>
        <v>0</v>
      </c>
      <c r="I13" s="97" t="str">
        <f>+'Plan de Adquisiciones '!I27</f>
        <v>Prestación de servicios profesionales para  realizar la  articulación de acciones y consolidación de resultados, en la primera aplicación del  Sistema de seguimiento a la política educativa distrital en los contextos escolares, Fase 2</v>
      </c>
      <c r="J13" s="97">
        <f>+'Plan de Adquisiciones '!J27</f>
        <v>80111621</v>
      </c>
      <c r="K13" s="97" t="str">
        <f>+'Plan de Adquisiciones '!K27</f>
        <v>Profesional 222-07</v>
      </c>
      <c r="L13" s="97" t="str">
        <f>+'Plan de Adquisiciones '!L27</f>
        <v>Jorge Palacio</v>
      </c>
      <c r="M13" s="97" t="s">
        <v>503</v>
      </c>
      <c r="N13" s="97" t="str">
        <f>+'Plan de Adquisiciones '!N27</f>
        <v>Febrero</v>
      </c>
      <c r="O13" s="97"/>
      <c r="P13" s="98">
        <f>+'Plan de Adquisiciones '!O27</f>
        <v>9</v>
      </c>
      <c r="Q13" s="97" t="str">
        <f>+'Plan de Adquisiciones '!P27</f>
        <v xml:space="preserve"> Contratación Directa</v>
      </c>
      <c r="R13" s="97" t="str">
        <f>+'Plan de Adquisiciones '!Q27</f>
        <v>Directa</v>
      </c>
      <c r="S13" s="107">
        <f>+'Plan de Adquisiciones '!R27</f>
        <v>73033983</v>
      </c>
      <c r="T13" s="107">
        <f>+'Plan de Adquisiciones '!S27</f>
        <v>0</v>
      </c>
      <c r="U13" s="107">
        <f>+'Plan de Adquisiciones '!T27</f>
        <v>73033983</v>
      </c>
      <c r="V13" s="98">
        <f>+'Plan de Adquisiciones '!U27</f>
        <v>1</v>
      </c>
      <c r="W13" s="107">
        <f>+'Plan de Adquisiciones '!V27</f>
        <v>73033983</v>
      </c>
      <c r="X13" s="107">
        <f>+'Plan de Adquisiciones '!W27</f>
        <v>0</v>
      </c>
      <c r="Y13" s="107">
        <f>+'Plan de Adquisiciones '!X27</f>
        <v>73033983</v>
      </c>
      <c r="Z13" s="106">
        <f>+'Plan de Adquisiciones '!Y27</f>
        <v>42796</v>
      </c>
      <c r="AA13" s="106" t="s">
        <v>87</v>
      </c>
      <c r="AB13" s="106"/>
      <c r="AC13" s="97">
        <f>+'Plan de Adquisiciones '!Z27</f>
        <v>20</v>
      </c>
      <c r="AD13" s="108" t="str">
        <f>+'Plan de Adquisiciones '!AA27</f>
        <v>MARTHA VIVES HURTADO</v>
      </c>
    </row>
    <row r="14" spans="1:31" ht="56.25" customHeight="1" x14ac:dyDescent="0.25">
      <c r="A14" s="60" t="s">
        <v>163</v>
      </c>
      <c r="B14" s="60" t="s">
        <v>147</v>
      </c>
      <c r="C14" s="60" t="s">
        <v>132</v>
      </c>
      <c r="D14" s="60" t="s">
        <v>36</v>
      </c>
      <c r="E14" s="60" t="s">
        <v>100</v>
      </c>
      <c r="F14" s="97">
        <f>+'Plan de Adquisiciones '!F28</f>
        <v>0</v>
      </c>
      <c r="G14" s="98">
        <f>+'Plan de Adquisiciones '!G28</f>
        <v>276</v>
      </c>
      <c r="H14" s="97">
        <f>+'Plan de Adquisiciones '!H28</f>
        <v>0</v>
      </c>
      <c r="I14" s="97" t="str">
        <f>+'Plan de Adquisiciones '!I28</f>
        <v>Prestación de servicios profesionales para apoyar los procesos académicos relacionados con la indagación cualitativa, cuantitativa y mixta, en las líneas estratégicas de Calidad Educativa para Todos y Equipo por la Educación para el Reencuentro, la Reconciliación y la Paz,  en el marco de la primera aplicación del  Sistema de seguimiento a la política educativa distrital en los contextos escolares, Fase 2.</v>
      </c>
      <c r="J14" s="97">
        <f>+'Plan de Adquisiciones '!J28</f>
        <v>80111621</v>
      </c>
      <c r="K14" s="97" t="str">
        <f>+'Plan de Adquisiciones '!K28</f>
        <v>Profesional 222-07</v>
      </c>
      <c r="L14" s="97" t="str">
        <f>+'Plan de Adquisiciones '!L28</f>
        <v>Jorge Palacio</v>
      </c>
      <c r="M14" s="97" t="s">
        <v>503</v>
      </c>
      <c r="N14" s="97" t="str">
        <f>+'Plan de Adquisiciones '!N28</f>
        <v>Junio</v>
      </c>
      <c r="O14" s="97"/>
      <c r="P14" s="98">
        <f>+'Plan de Adquisiciones '!O28</f>
        <v>5</v>
      </c>
      <c r="Q14" s="97" t="str">
        <f>+'Plan de Adquisiciones '!P28</f>
        <v xml:space="preserve"> Contratación Directa</v>
      </c>
      <c r="R14" s="97" t="str">
        <f>+'Plan de Adquisiciones '!Q28</f>
        <v>Directa</v>
      </c>
      <c r="S14" s="107">
        <f>+'Plan de Adquisiciones '!R28</f>
        <v>206500000</v>
      </c>
      <c r="T14" s="107">
        <f>+'Plan de Adquisiciones '!S28</f>
        <v>0</v>
      </c>
      <c r="U14" s="107">
        <f>+'Plan de Adquisiciones '!T28</f>
        <v>206500000</v>
      </c>
      <c r="V14" s="98">
        <f>+'Plan de Adquisiciones '!U28</f>
        <v>0</v>
      </c>
      <c r="W14" s="107">
        <f>+'Plan de Adquisiciones '!V28</f>
        <v>206500000</v>
      </c>
      <c r="X14" s="107">
        <f>+'Plan de Adquisiciones '!W28</f>
        <v>0</v>
      </c>
      <c r="Y14" s="107">
        <f>+'Plan de Adquisiciones '!X28</f>
        <v>206500000</v>
      </c>
      <c r="Z14" s="106"/>
      <c r="AA14" s="106"/>
      <c r="AB14" s="106"/>
      <c r="AC14" s="97">
        <f>+'Plan de Adquisiciones '!Z28</f>
        <v>93</v>
      </c>
      <c r="AD14" s="108" t="str">
        <f>+'Plan de Adquisiciones '!AA28</f>
        <v>DEPROYECTOS SAS.</v>
      </c>
    </row>
    <row r="15" spans="1:31" ht="90" x14ac:dyDescent="0.25">
      <c r="A15" s="60" t="s">
        <v>163</v>
      </c>
      <c r="B15" s="60" t="s">
        <v>147</v>
      </c>
      <c r="C15" s="60" t="s">
        <v>132</v>
      </c>
      <c r="D15" s="60" t="s">
        <v>36</v>
      </c>
      <c r="E15" s="60" t="s">
        <v>100</v>
      </c>
      <c r="F15" s="97">
        <f>+'Plan de Adquisiciones '!F29</f>
        <v>0</v>
      </c>
      <c r="G15" s="98">
        <f>+'Plan de Adquisiciones '!G29</f>
        <v>53</v>
      </c>
      <c r="H15" s="97">
        <f>+'Plan de Adquisiciones '!H29</f>
        <v>0</v>
      </c>
      <c r="I15" s="97" t="str">
        <f>+'Plan de Adquisiciones '!I29</f>
        <v>Prestación de servicios profesionales para brindar apoyo administrativo en los procesos y procedimientos desarrollados en el Estudio Sistema de seguimiento a la política educativa distrital en los contextos escolares - Fase 2.</v>
      </c>
      <c r="J15" s="97">
        <f>+'Plan de Adquisiciones '!J29</f>
        <v>80111601</v>
      </c>
      <c r="K15" s="97" t="str">
        <f>+'Plan de Adquisiciones '!K29</f>
        <v>Profesional 222-07</v>
      </c>
      <c r="L15" s="97" t="str">
        <f>+'Plan de Adquisiciones '!L29</f>
        <v>Jorge Palacio</v>
      </c>
      <c r="M15" s="97" t="s">
        <v>503</v>
      </c>
      <c r="N15" s="97" t="str">
        <f>+'Plan de Adquisiciones '!N29</f>
        <v>Enero</v>
      </c>
      <c r="O15" s="97"/>
      <c r="P15" s="98">
        <f>+'Plan de Adquisiciones '!O29</f>
        <v>11</v>
      </c>
      <c r="Q15" s="97" t="str">
        <f>+'Plan de Adquisiciones '!P29</f>
        <v xml:space="preserve"> Contratación Directa</v>
      </c>
      <c r="R15" s="97" t="str">
        <f>+'Plan de Adquisiciones '!Q29</f>
        <v>Directa</v>
      </c>
      <c r="S15" s="107">
        <f>+'Plan de Adquisiciones '!R29</f>
        <v>40574435</v>
      </c>
      <c r="T15" s="107">
        <f>+'Plan de Adquisiciones '!S29</f>
        <v>0</v>
      </c>
      <c r="U15" s="107">
        <f>+'Plan de Adquisiciones '!T29</f>
        <v>40574435</v>
      </c>
      <c r="V15" s="98">
        <f>+'Plan de Adquisiciones '!U29</f>
        <v>1</v>
      </c>
      <c r="W15" s="107">
        <f>+'Plan de Adquisiciones '!V29</f>
        <v>40574435</v>
      </c>
      <c r="X15" s="107">
        <f>+'Plan de Adquisiciones '!W29</f>
        <v>0</v>
      </c>
      <c r="Y15" s="107">
        <f>+'Plan de Adquisiciones '!X29</f>
        <v>40574435</v>
      </c>
      <c r="Z15" s="106">
        <f>+'Plan de Adquisiciones '!Y29</f>
        <v>42766</v>
      </c>
      <c r="AA15" s="106" t="s">
        <v>72</v>
      </c>
      <c r="AB15" s="106"/>
      <c r="AC15" s="97">
        <f>+'Plan de Adquisiciones '!Z29</f>
        <v>2</v>
      </c>
      <c r="AD15" s="108" t="str">
        <f>+'Plan de Adquisiciones '!AA29</f>
        <v>MARISOL HERNANDEZ</v>
      </c>
    </row>
    <row r="16" spans="1:31" ht="101.25" x14ac:dyDescent="0.25">
      <c r="A16" s="60"/>
      <c r="B16" s="60"/>
      <c r="C16" s="60"/>
      <c r="D16" s="60"/>
      <c r="E16" s="60"/>
      <c r="F16" s="97"/>
      <c r="G16" s="98">
        <f>+'Plan de Adquisiciones '!G34</f>
        <v>287</v>
      </c>
      <c r="H16" s="97"/>
      <c r="I16" s="97" t="str">
        <f>+'Plan de Adquisiciones '!I34</f>
        <v>Prestación de servicios profesionales para realizar la formulación y orientación  del estudio “Exploración de aspectos socio-emocionales que pueden afectar procesos de paz y reconciliación en las IED de Bogotá en el marco del postconflicto”.</v>
      </c>
      <c r="J16" s="97">
        <f>+'Plan de Adquisiciones '!J34</f>
        <v>80111621</v>
      </c>
      <c r="K16" s="97" t="str">
        <f>+'Plan de Adquisiciones '!K34</f>
        <v>Asesor 105-02</v>
      </c>
      <c r="L16" s="97">
        <f>+'Plan de Adquisiciones '!L34</f>
        <v>0</v>
      </c>
      <c r="M16" s="97" t="s">
        <v>503</v>
      </c>
      <c r="N16" s="97" t="str">
        <f>+'Plan de Adquisiciones '!N34</f>
        <v>Julio</v>
      </c>
      <c r="O16" s="97"/>
      <c r="P16" s="98">
        <f>+'Plan de Adquisiciones '!O34</f>
        <v>5</v>
      </c>
      <c r="Q16" s="97" t="str">
        <f>+'Plan de Adquisiciones '!P34</f>
        <v xml:space="preserve"> Contratación Directa</v>
      </c>
      <c r="R16" s="97">
        <f>+'Plan de Adquisiciones '!Q34</f>
        <v>0</v>
      </c>
      <c r="S16" s="107">
        <f>+'Plan de Adquisiciones '!R34</f>
        <v>21440000</v>
      </c>
      <c r="T16" s="107">
        <f>+'Plan de Adquisiciones '!S34</f>
        <v>0</v>
      </c>
      <c r="U16" s="107">
        <f>+'Plan de Adquisiciones '!T34</f>
        <v>21440000</v>
      </c>
      <c r="V16" s="98">
        <f>+'Plan de Adquisiciones '!U34</f>
        <v>0</v>
      </c>
      <c r="W16" s="107"/>
      <c r="X16" s="107"/>
      <c r="Y16" s="107"/>
      <c r="Z16" s="106"/>
      <c r="AA16" s="106"/>
      <c r="AB16" s="106"/>
      <c r="AC16" s="97"/>
      <c r="AD16" s="108"/>
      <c r="AE16" s="100"/>
    </row>
    <row r="17" spans="1:31" ht="90" x14ac:dyDescent="0.25">
      <c r="A17" s="60"/>
      <c r="B17" s="60"/>
      <c r="C17" s="60"/>
      <c r="D17" s="60"/>
      <c r="E17" s="60"/>
      <c r="F17" s="97"/>
      <c r="G17" s="98">
        <f>+'Plan de Adquisiciones '!G35</f>
        <v>288</v>
      </c>
      <c r="H17" s="97"/>
      <c r="I17" s="97" t="str">
        <f>+'Plan de Adquisiciones '!I35</f>
        <v>Prestación de servicios profesionales para realizar el apoyo metodológico del estudio “Exploración de aspectos socio-emocionales que pueden afectar procesos de paz y reconciliación en las IED de Bogotá en el marco del postconflicto”.</v>
      </c>
      <c r="J17" s="97">
        <f>+'Plan de Adquisiciones '!J35</f>
        <v>80111621</v>
      </c>
      <c r="K17" s="97" t="str">
        <f>+'Plan de Adquisiciones '!K35</f>
        <v>Asesor 105-02</v>
      </c>
      <c r="L17" s="97">
        <f>+'Plan de Adquisiciones '!L35</f>
        <v>0</v>
      </c>
      <c r="M17" s="97" t="s">
        <v>503</v>
      </c>
      <c r="N17" s="97" t="str">
        <f>+'Plan de Adquisiciones '!N35</f>
        <v>Agosto</v>
      </c>
      <c r="O17" s="97"/>
      <c r="P17" s="98">
        <f>+'Plan de Adquisiciones '!O35</f>
        <v>4</v>
      </c>
      <c r="Q17" s="97" t="str">
        <f>+'Plan de Adquisiciones '!P35</f>
        <v xml:space="preserve"> Contratación Directa</v>
      </c>
      <c r="R17" s="97">
        <f>+'Plan de Adquisiciones '!Q35</f>
        <v>0</v>
      </c>
      <c r="S17" s="107">
        <f>+'Plan de Adquisiciones '!R35</f>
        <v>16880000</v>
      </c>
      <c r="T17" s="107">
        <f>+'Plan de Adquisiciones '!S35</f>
        <v>0</v>
      </c>
      <c r="U17" s="107">
        <f>+'Plan de Adquisiciones '!T35</f>
        <v>16880000</v>
      </c>
      <c r="V17" s="98">
        <f>+'Plan de Adquisiciones '!U35</f>
        <v>0</v>
      </c>
      <c r="W17" s="107"/>
      <c r="X17" s="107"/>
      <c r="Y17" s="107"/>
      <c r="Z17" s="106"/>
      <c r="AA17" s="106"/>
      <c r="AB17" s="106"/>
      <c r="AC17" s="97"/>
      <c r="AD17" s="108"/>
      <c r="AE17" s="100"/>
    </row>
    <row r="18" spans="1:31" ht="90" x14ac:dyDescent="0.25">
      <c r="A18" s="60"/>
      <c r="B18" s="60"/>
      <c r="C18" s="60"/>
      <c r="D18" s="60"/>
      <c r="E18" s="60"/>
      <c r="F18" s="97"/>
      <c r="G18" s="98">
        <f>+'Plan de Adquisiciones '!G36</f>
        <v>289</v>
      </c>
      <c r="H18" s="97"/>
      <c r="I18" s="97" t="str">
        <f>+'Plan de Adquisiciones '!I36</f>
        <v>Prestación de servicios profesionales para realizar el apoyo académico del estudio “Exploración de aspectos socio-emocionales que pueden afectar procesos de paz y reconciliación en las IED de Bogotá en el marco del postconflicto”.</v>
      </c>
      <c r="J18" s="97">
        <f>+'Plan de Adquisiciones '!J36</f>
        <v>80111621</v>
      </c>
      <c r="K18" s="97" t="str">
        <f>+'Plan de Adquisiciones '!K36</f>
        <v>Asesor 105-02</v>
      </c>
      <c r="L18" s="97">
        <f>+'Plan de Adquisiciones '!L36</f>
        <v>0</v>
      </c>
      <c r="M18" s="97" t="s">
        <v>503</v>
      </c>
      <c r="N18" s="97" t="str">
        <f>+'Plan de Adquisiciones '!N36</f>
        <v>Agosto</v>
      </c>
      <c r="O18" s="97"/>
      <c r="P18" s="98">
        <f>+'Plan de Adquisiciones '!O36</f>
        <v>4</v>
      </c>
      <c r="Q18" s="97" t="str">
        <f>+'Plan de Adquisiciones '!P36</f>
        <v xml:space="preserve"> Contratación Directa</v>
      </c>
      <c r="R18" s="97">
        <f>+'Plan de Adquisiciones '!Q36</f>
        <v>0</v>
      </c>
      <c r="S18" s="107">
        <f>+'Plan de Adquisiciones '!R36</f>
        <v>16880000</v>
      </c>
      <c r="T18" s="107">
        <f>+'Plan de Adquisiciones '!S36</f>
        <v>0</v>
      </c>
      <c r="U18" s="107">
        <f>+'Plan de Adquisiciones '!T36</f>
        <v>16880000</v>
      </c>
      <c r="V18" s="98">
        <f>+'Plan de Adquisiciones '!U36</f>
        <v>0</v>
      </c>
      <c r="W18" s="107"/>
      <c r="X18" s="107"/>
      <c r="Y18" s="107"/>
      <c r="Z18" s="106"/>
      <c r="AA18" s="106"/>
      <c r="AB18" s="106"/>
      <c r="AC18" s="97"/>
      <c r="AD18" s="108"/>
      <c r="AE18" s="100"/>
    </row>
    <row r="19" spans="1:31" ht="146.25" x14ac:dyDescent="0.25">
      <c r="A19" s="60"/>
      <c r="B19" s="60"/>
      <c r="C19" s="60"/>
      <c r="D19" s="60"/>
      <c r="E19" s="60"/>
      <c r="F19" s="97"/>
      <c r="G19" s="98">
        <f>+'Plan de Adquisiciones '!G37</f>
        <v>290</v>
      </c>
      <c r="H19" s="97"/>
      <c r="I19" s="97" t="str">
        <f>+'Plan de Adquisiciones '!I37</f>
        <v>Prestación de servicios profesionales para apoyar el diseño, la construcción y el pilotaje de los instrumentos, la recolección de información en la IED de la Zona A y la sistematización de los datos a obtener, en el estudio “Exploración de aspectos socio-emocionales que pueden afectar procesos de paz y reconciliación en las IED de Bogotá en el marco del postconflicto”</v>
      </c>
      <c r="J19" s="97">
        <f>+'Plan de Adquisiciones '!J37</f>
        <v>80111621</v>
      </c>
      <c r="K19" s="97" t="str">
        <f>+'Plan de Adquisiciones '!K37</f>
        <v>Asesor 105-02</v>
      </c>
      <c r="L19" s="97">
        <f>+'Plan de Adquisiciones '!L37</f>
        <v>0</v>
      </c>
      <c r="M19" s="97" t="s">
        <v>503</v>
      </c>
      <c r="N19" s="97" t="str">
        <f>+'Plan de Adquisiciones '!N37</f>
        <v>Agosto</v>
      </c>
      <c r="O19" s="97"/>
      <c r="P19" s="98">
        <f>+'Plan de Adquisiciones '!O37</f>
        <v>4</v>
      </c>
      <c r="Q19" s="97" t="str">
        <f>+'Plan de Adquisiciones '!P37</f>
        <v xml:space="preserve"> Contratación Directa</v>
      </c>
      <c r="R19" s="97">
        <f>+'Plan de Adquisiciones '!Q37</f>
        <v>0</v>
      </c>
      <c r="S19" s="107">
        <f>+'Plan de Adquisiciones '!R37</f>
        <v>11200000</v>
      </c>
      <c r="T19" s="107">
        <f>+'Plan de Adquisiciones '!S37</f>
        <v>0</v>
      </c>
      <c r="U19" s="107">
        <f>+'Plan de Adquisiciones '!T37</f>
        <v>11200000</v>
      </c>
      <c r="V19" s="98">
        <f>+'Plan de Adquisiciones '!U37</f>
        <v>0</v>
      </c>
      <c r="W19" s="107"/>
      <c r="X19" s="107"/>
      <c r="Y19" s="107"/>
      <c r="Z19" s="106"/>
      <c r="AA19" s="106"/>
      <c r="AB19" s="106"/>
      <c r="AC19" s="97"/>
      <c r="AD19" s="108"/>
      <c r="AE19" s="100"/>
    </row>
    <row r="20" spans="1:31" ht="146.25" x14ac:dyDescent="0.25">
      <c r="A20" s="60"/>
      <c r="B20" s="60"/>
      <c r="C20" s="60"/>
      <c r="D20" s="60"/>
      <c r="E20" s="60"/>
      <c r="F20" s="97"/>
      <c r="G20" s="98">
        <f>+'Plan de Adquisiciones '!G38</f>
        <v>291</v>
      </c>
      <c r="H20" s="97"/>
      <c r="I20" s="97" t="str">
        <f>+'Plan de Adquisiciones '!I38</f>
        <v>Prestación de servicios profesionales para apoyar el diseño, la construcción y el pilotaje de los instrumentos, la recolección de información en la IED de la Zona B y la sistematización de los datos a obtener, en el estudio “Exploración de aspectos socio-emocionales que pueden afectar procesos de paz y reconciliación en las IED de Bogotá en el marco del postconflicto”</v>
      </c>
      <c r="J20" s="97">
        <f>+'Plan de Adquisiciones '!J38</f>
        <v>80111621</v>
      </c>
      <c r="K20" s="97" t="str">
        <f>+'Plan de Adquisiciones '!K38</f>
        <v>Asesor 105-02</v>
      </c>
      <c r="L20" s="97">
        <f>+'Plan de Adquisiciones '!L38</f>
        <v>0</v>
      </c>
      <c r="M20" s="97" t="s">
        <v>503</v>
      </c>
      <c r="N20" s="97" t="str">
        <f>+'Plan de Adquisiciones '!N38</f>
        <v>Agosto</v>
      </c>
      <c r="O20" s="97"/>
      <c r="P20" s="98">
        <f>+'Plan de Adquisiciones '!O38</f>
        <v>4</v>
      </c>
      <c r="Q20" s="97" t="str">
        <f>+'Plan de Adquisiciones '!P38</f>
        <v xml:space="preserve"> Contratación Directa</v>
      </c>
      <c r="R20" s="97">
        <f>+'Plan de Adquisiciones '!Q38</f>
        <v>0</v>
      </c>
      <c r="S20" s="107">
        <f>+'Plan de Adquisiciones '!R38</f>
        <v>11200000</v>
      </c>
      <c r="T20" s="107">
        <f>+'Plan de Adquisiciones '!S38</f>
        <v>0</v>
      </c>
      <c r="U20" s="107">
        <f>+'Plan de Adquisiciones '!T38</f>
        <v>11200000</v>
      </c>
      <c r="V20" s="98">
        <f>+'Plan de Adquisiciones '!U38</f>
        <v>0</v>
      </c>
      <c r="W20" s="107"/>
      <c r="X20" s="107"/>
      <c r="Y20" s="107"/>
      <c r="Z20" s="106"/>
      <c r="AA20" s="106"/>
      <c r="AB20" s="106"/>
      <c r="AC20" s="97"/>
      <c r="AD20" s="108"/>
      <c r="AE20" s="100"/>
    </row>
    <row r="21" spans="1:31" ht="146.25" x14ac:dyDescent="0.25">
      <c r="A21" s="60"/>
      <c r="B21" s="60"/>
      <c r="C21" s="60"/>
      <c r="D21" s="60"/>
      <c r="E21" s="60"/>
      <c r="F21" s="97"/>
      <c r="G21" s="98">
        <f>+'Plan de Adquisiciones '!G39</f>
        <v>292</v>
      </c>
      <c r="H21" s="97"/>
      <c r="I21" s="97" t="str">
        <f>+'Plan de Adquisiciones '!I39</f>
        <v>Prestación de servicios profesionales para apoyar el diseño, la construcción y el pilotaje de los instrumentos, la recolección de información en la IED de la Zona C y la sistematización de los datos a obtener, en el estudio “Exploración de aspectos socio-emocionales que pueden afectar procesos de paz y reconciliación en las IED de Bogotá en el marco del postconflicto”</v>
      </c>
      <c r="J21" s="97">
        <f>+'Plan de Adquisiciones '!J39</f>
        <v>80111621</v>
      </c>
      <c r="K21" s="97" t="str">
        <f>+'Plan de Adquisiciones '!K39</f>
        <v>Asesor 105-02</v>
      </c>
      <c r="L21" s="97">
        <f>+'Plan de Adquisiciones '!L39</f>
        <v>0</v>
      </c>
      <c r="M21" s="97" t="s">
        <v>503</v>
      </c>
      <c r="N21" s="97" t="str">
        <f>+'Plan de Adquisiciones '!N39</f>
        <v>Agosto</v>
      </c>
      <c r="O21" s="97"/>
      <c r="P21" s="98">
        <f>+'Plan de Adquisiciones '!O39</f>
        <v>4</v>
      </c>
      <c r="Q21" s="97" t="str">
        <f>+'Plan de Adquisiciones '!P39</f>
        <v xml:space="preserve"> Contratación Directa</v>
      </c>
      <c r="R21" s="97">
        <f>+'Plan de Adquisiciones '!Q39</f>
        <v>0</v>
      </c>
      <c r="S21" s="107">
        <f>+'Plan de Adquisiciones '!R39</f>
        <v>11200000</v>
      </c>
      <c r="T21" s="107">
        <f>+'Plan de Adquisiciones '!S39</f>
        <v>0</v>
      </c>
      <c r="U21" s="107">
        <f>+'Plan de Adquisiciones '!T39</f>
        <v>11200000</v>
      </c>
      <c r="V21" s="98">
        <f>+'Plan de Adquisiciones '!U39</f>
        <v>0</v>
      </c>
      <c r="W21" s="107"/>
      <c r="X21" s="107"/>
      <c r="Y21" s="107"/>
      <c r="Z21" s="106"/>
      <c r="AA21" s="106"/>
      <c r="AB21" s="106"/>
      <c r="AC21" s="97"/>
      <c r="AD21" s="108"/>
      <c r="AE21" s="100"/>
    </row>
    <row r="22" spans="1:31" ht="146.25" x14ac:dyDescent="0.25">
      <c r="A22" s="60"/>
      <c r="B22" s="60"/>
      <c r="C22" s="60"/>
      <c r="D22" s="60"/>
      <c r="E22" s="60"/>
      <c r="F22" s="97"/>
      <c r="G22" s="98">
        <f>+'Plan de Adquisiciones '!G40</f>
        <v>293</v>
      </c>
      <c r="H22" s="97"/>
      <c r="I22" s="97" t="str">
        <f>+'Plan de Adquisiciones '!I40</f>
        <v>Prestación de servicios profesionales para apoyar el diseño, la construcción y el pilotaje de los instrumentos, la recolección de información en la IED de la Zona D y la sistematización de los datos a obtener, en el estudio “Exploración de aspectos socio-emocionales que pueden afectar procesos de paz y reconciliación en las IED de Bogotá en el marco del postconflicto”</v>
      </c>
      <c r="J22" s="97">
        <f>+'Plan de Adquisiciones '!J40</f>
        <v>80111621</v>
      </c>
      <c r="K22" s="97" t="str">
        <f>+'Plan de Adquisiciones '!K40</f>
        <v>Asesor 105-02</v>
      </c>
      <c r="L22" s="97">
        <f>+'Plan de Adquisiciones '!L40</f>
        <v>0</v>
      </c>
      <c r="M22" s="97" t="s">
        <v>503</v>
      </c>
      <c r="N22" s="97" t="str">
        <f>+'Plan de Adquisiciones '!N40</f>
        <v>Agosto</v>
      </c>
      <c r="O22" s="97"/>
      <c r="P22" s="98">
        <f>+'Plan de Adquisiciones '!O40</f>
        <v>4</v>
      </c>
      <c r="Q22" s="97" t="str">
        <f>+'Plan de Adquisiciones '!P40</f>
        <v xml:space="preserve"> Contratación Directa</v>
      </c>
      <c r="R22" s="97">
        <f>+'Plan de Adquisiciones '!Q40</f>
        <v>0</v>
      </c>
      <c r="S22" s="107">
        <f>+'Plan de Adquisiciones '!R40</f>
        <v>11200000</v>
      </c>
      <c r="T22" s="107">
        <f>+'Plan de Adquisiciones '!S40</f>
        <v>0</v>
      </c>
      <c r="U22" s="107">
        <f>+'Plan de Adquisiciones '!T40</f>
        <v>11200000</v>
      </c>
      <c r="V22" s="98">
        <f>+'Plan de Adquisiciones '!U40</f>
        <v>0</v>
      </c>
      <c r="W22" s="107"/>
      <c r="X22" s="107"/>
      <c r="Y22" s="107"/>
      <c r="Z22" s="106"/>
      <c r="AA22" s="106"/>
      <c r="AB22" s="106"/>
      <c r="AC22" s="97"/>
      <c r="AD22" s="108"/>
      <c r="AE22" s="100"/>
    </row>
    <row r="23" spans="1:31" ht="91.5" customHeight="1" x14ac:dyDescent="0.25">
      <c r="A23" s="60" t="s">
        <v>163</v>
      </c>
      <c r="B23" s="60" t="s">
        <v>147</v>
      </c>
      <c r="C23" s="60" t="s">
        <v>132</v>
      </c>
      <c r="D23" s="60" t="s">
        <v>36</v>
      </c>
      <c r="E23" s="60" t="s">
        <v>36</v>
      </c>
      <c r="F23" s="97" t="str">
        <f>+'Plan de Adquisiciones '!F42</f>
        <v>Estudio Educación y Políticas Publicas: Abordaje de Maternidad y Paternidad Fase II</v>
      </c>
      <c r="G23" s="98">
        <f>+'Plan de Adquisiciones '!G42</f>
        <v>206</v>
      </c>
      <c r="H23" s="97">
        <f>+'Plan de Adquisiciones '!H42</f>
        <v>0</v>
      </c>
      <c r="I23" s="97" t="str">
        <f>+'Plan de Adquisiciones '!I42</f>
        <v>Prestación de servicios profesionales para realizar la revisión y análisis de datos estadísticos de diferentes fuentes secundarias relacionadas con temas de sexualidad para el estudio “Abordaje integral de la maternidad y la paternidad tempranas en el contexto escolar – fase II. Elaboración de un cuerpo de indicadores”, en el marco del Convenio 1452 de 2017 en su Componente 2.</v>
      </c>
      <c r="J23" s="97">
        <f>+'Plan de Adquisiciones '!J42</f>
        <v>80111621</v>
      </c>
      <c r="K23" s="97" t="str">
        <f>+'Plan de Adquisiciones '!K42</f>
        <v>Asesor 105-03</v>
      </c>
      <c r="L23" s="97" t="str">
        <f>+'Plan de Adquisiciones '!L42</f>
        <v>Martha Cuevas</v>
      </c>
      <c r="M23" s="97" t="s">
        <v>503</v>
      </c>
      <c r="N23" s="97" t="str">
        <f>+'Plan de Adquisiciones '!N42</f>
        <v>Abril</v>
      </c>
      <c r="O23" s="97"/>
      <c r="P23" s="98">
        <f>+'Plan de Adquisiciones '!O42</f>
        <v>4</v>
      </c>
      <c r="Q23" s="97" t="str">
        <f>+'Plan de Adquisiciones '!P42</f>
        <v xml:space="preserve"> Contratación Directa</v>
      </c>
      <c r="R23" s="97" t="str">
        <f>+'Plan de Adquisiciones '!Q42</f>
        <v>Directa</v>
      </c>
      <c r="S23" s="107">
        <f>+'Plan de Adquisiciones '!R42</f>
        <v>0</v>
      </c>
      <c r="T23" s="107">
        <f>+'Plan de Adquisiciones '!S42</f>
        <v>19918359</v>
      </c>
      <c r="U23" s="107">
        <f>+'Plan de Adquisiciones '!T42</f>
        <v>19918359</v>
      </c>
      <c r="V23" s="98">
        <f>+'Plan de Adquisiciones '!U42</f>
        <v>1</v>
      </c>
      <c r="W23" s="107">
        <f>+'Plan de Adquisiciones '!V42</f>
        <v>0</v>
      </c>
      <c r="X23" s="107">
        <f>+'Plan de Adquisiciones '!W42</f>
        <v>19918359</v>
      </c>
      <c r="Y23" s="107">
        <f>+'Plan de Adquisiciones '!X42</f>
        <v>19918359</v>
      </c>
      <c r="Z23" s="106">
        <f>+'Plan de Adquisiciones '!Y42</f>
        <v>42852</v>
      </c>
      <c r="AA23" s="106" t="s">
        <v>63</v>
      </c>
      <c r="AB23" s="106"/>
      <c r="AC23" s="97">
        <f>+'Plan de Adquisiciones '!Z42</f>
        <v>66</v>
      </c>
      <c r="AD23" s="108" t="str">
        <f>+'Plan de Adquisiciones '!AA42</f>
        <v>JHON CALDERON RODRIGUEZ</v>
      </c>
      <c r="AE23" s="100">
        <f>+'Plan de Adquisiciones '!AB50</f>
        <v>48689322</v>
      </c>
    </row>
    <row r="24" spans="1:31" ht="123.75" x14ac:dyDescent="0.25">
      <c r="A24" s="60" t="s">
        <v>163</v>
      </c>
      <c r="B24" s="60" t="s">
        <v>147</v>
      </c>
      <c r="C24" s="60" t="s">
        <v>132</v>
      </c>
      <c r="D24" s="60" t="s">
        <v>36</v>
      </c>
      <c r="E24" s="60" t="s">
        <v>36</v>
      </c>
      <c r="F24" s="97">
        <f>+'Plan de Adquisiciones '!F43</f>
        <v>0</v>
      </c>
      <c r="G24" s="98">
        <f>+'Plan de Adquisiciones '!G43</f>
        <v>207</v>
      </c>
      <c r="H24" s="97">
        <f>+'Plan de Adquisiciones '!H43</f>
        <v>0</v>
      </c>
      <c r="I24" s="97" t="str">
        <f>+'Plan de Adquisiciones '!I43</f>
        <v>Prestación de servicios profesionales para orientar académicamente, desde una perspectiva cualitativa, el estudio “Abordaje integral de la maternidad y la paternidad tempranas en el contexto escolar – fase II. Elaboración de un cuerpo de indicadores”, en el marco del Convenio 1452 de 2017 en su Componente 2.</v>
      </c>
      <c r="J24" s="97">
        <f>+'Plan de Adquisiciones '!J43</f>
        <v>80111621</v>
      </c>
      <c r="K24" s="97" t="str">
        <f>+'Plan de Adquisiciones '!K43</f>
        <v>Asesor 105-03</v>
      </c>
      <c r="L24" s="97" t="str">
        <f>+'Plan de Adquisiciones '!L43</f>
        <v>Martha Cuevas</v>
      </c>
      <c r="M24" s="97" t="s">
        <v>503</v>
      </c>
      <c r="N24" s="97" t="str">
        <f>+'Plan de Adquisiciones '!N43</f>
        <v>Mayo</v>
      </c>
      <c r="O24" s="97"/>
      <c r="P24" s="98">
        <f>+'Plan de Adquisiciones '!O43</f>
        <v>4</v>
      </c>
      <c r="Q24" s="97" t="str">
        <f>+'Plan de Adquisiciones '!P43</f>
        <v xml:space="preserve"> Contratación Directa</v>
      </c>
      <c r="R24" s="97" t="str">
        <f>+'Plan de Adquisiciones '!Q43</f>
        <v>Directa</v>
      </c>
      <c r="S24" s="107">
        <f>+'Plan de Adquisiciones '!R43</f>
        <v>0</v>
      </c>
      <c r="T24" s="107">
        <f>+'Plan de Adquisiciones '!S43</f>
        <v>27590616</v>
      </c>
      <c r="U24" s="107">
        <f>+'Plan de Adquisiciones '!T43</f>
        <v>27590616</v>
      </c>
      <c r="V24" s="98">
        <f>+'Plan de Adquisiciones '!U43</f>
        <v>1</v>
      </c>
      <c r="W24" s="107">
        <f>+'Plan de Adquisiciones '!V43</f>
        <v>0</v>
      </c>
      <c r="X24" s="107">
        <f>+'Plan de Adquisiciones '!W43</f>
        <v>27590616</v>
      </c>
      <c r="Y24" s="107">
        <f>+'Plan de Adquisiciones '!X43</f>
        <v>27590616</v>
      </c>
      <c r="Z24" s="106">
        <f>+'Plan de Adquisiciones '!Y43</f>
        <v>42881</v>
      </c>
      <c r="AA24" s="106" t="s">
        <v>56</v>
      </c>
      <c r="AB24" s="106"/>
      <c r="AC24" s="97">
        <f>+'Plan de Adquisiciones '!Z43</f>
        <v>88</v>
      </c>
      <c r="AD24" s="108" t="str">
        <f>+'Plan de Adquisiciones '!AA43</f>
        <v>LILA BEATRIZ PINTO BORREGO</v>
      </c>
      <c r="AE24" s="100">
        <f>+'Plan de Adquisiciones '!AB51</f>
        <v>33197265</v>
      </c>
    </row>
    <row r="25" spans="1:31" ht="101.25" customHeight="1" x14ac:dyDescent="0.25">
      <c r="A25" s="60" t="s">
        <v>163</v>
      </c>
      <c r="B25" s="60" t="s">
        <v>147</v>
      </c>
      <c r="C25" s="60" t="s">
        <v>132</v>
      </c>
      <c r="D25" s="60" t="s">
        <v>36</v>
      </c>
      <c r="E25" s="60" t="s">
        <v>36</v>
      </c>
      <c r="F25" s="97">
        <f>+'Plan de Adquisiciones '!F44</f>
        <v>0</v>
      </c>
      <c r="G25" s="98">
        <f>+'Plan de Adquisiciones '!G44</f>
        <v>208</v>
      </c>
      <c r="H25" s="97">
        <f>+'Plan de Adquisiciones '!H44</f>
        <v>0</v>
      </c>
      <c r="I25" s="97" t="str">
        <f>+'Plan de Adquisiciones '!I44</f>
        <v>Prestación de servicios profesionales para orientar académicamente, desde una perspectiva cuantitativa, el estudio “Abordaje integral de la maternidad y la paternidad tempranas en el contexto escolar – fase II. Elaboración de un cuerpo de indicadores”, en el marco del Convenio 1452 de 2017 en su Componente 2.</v>
      </c>
      <c r="J25" s="97">
        <f>+'Plan de Adquisiciones '!J44</f>
        <v>80111621</v>
      </c>
      <c r="K25" s="97" t="str">
        <f>+'Plan de Adquisiciones '!K44</f>
        <v>Asesor 105-03</v>
      </c>
      <c r="L25" s="97" t="str">
        <f>+'Plan de Adquisiciones '!L44</f>
        <v>Martha Cuevas</v>
      </c>
      <c r="M25" s="97" t="s">
        <v>503</v>
      </c>
      <c r="N25" s="97" t="str">
        <f>+'Plan de Adquisiciones '!N44</f>
        <v>Mayo</v>
      </c>
      <c r="O25" s="97"/>
      <c r="P25" s="98">
        <f>+'Plan de Adquisiciones '!O44</f>
        <v>4</v>
      </c>
      <c r="Q25" s="97" t="str">
        <f>+'Plan de Adquisiciones '!P44</f>
        <v xml:space="preserve"> Contratación Directa</v>
      </c>
      <c r="R25" s="97" t="str">
        <f>+'Plan de Adquisiciones '!Q44</f>
        <v>Directa</v>
      </c>
      <c r="S25" s="107">
        <f>+'Plan de Adquisiciones '!R44</f>
        <v>0</v>
      </c>
      <c r="T25" s="107">
        <f>+'Plan de Adquisiciones '!S44</f>
        <v>27590616</v>
      </c>
      <c r="U25" s="107">
        <f>+'Plan de Adquisiciones '!T44</f>
        <v>27590616</v>
      </c>
      <c r="V25" s="98">
        <f>+'Plan de Adquisiciones '!U44</f>
        <v>1</v>
      </c>
      <c r="W25" s="107">
        <f>+'Plan de Adquisiciones '!V44</f>
        <v>0</v>
      </c>
      <c r="X25" s="107">
        <f>+'Plan de Adquisiciones '!W44</f>
        <v>27590616</v>
      </c>
      <c r="Y25" s="107">
        <f>+'Plan de Adquisiciones '!X44</f>
        <v>27590616</v>
      </c>
      <c r="Z25" s="106">
        <f>+'Plan de Adquisiciones '!Y44</f>
        <v>42863</v>
      </c>
      <c r="AA25" s="106" t="s">
        <v>56</v>
      </c>
      <c r="AB25" s="106"/>
      <c r="AC25" s="97">
        <f>+'Plan de Adquisiciones '!Z44</f>
        <v>75</v>
      </c>
      <c r="AD25" s="108" t="str">
        <f>+'Plan de Adquisiciones '!AA44</f>
        <v>MARINA BERNAL GOMEZ</v>
      </c>
      <c r="AE25" s="100">
        <f>+'Plan de Adquisiciones '!AB52</f>
        <v>33197265</v>
      </c>
    </row>
    <row r="26" spans="1:31" ht="135" x14ac:dyDescent="0.25">
      <c r="A26" s="60" t="s">
        <v>163</v>
      </c>
      <c r="B26" s="60" t="s">
        <v>147</v>
      </c>
      <c r="C26" s="60" t="s">
        <v>132</v>
      </c>
      <c r="D26" s="60" t="s">
        <v>36</v>
      </c>
      <c r="E26" s="60" t="s">
        <v>36</v>
      </c>
      <c r="F26" s="97">
        <f>+'Plan de Adquisiciones '!F45</f>
        <v>0</v>
      </c>
      <c r="G26" s="98">
        <f>+'Plan de Adquisiciones '!G45</f>
        <v>209</v>
      </c>
      <c r="H26" s="97">
        <f>+'Plan de Adquisiciones '!H45</f>
        <v>0</v>
      </c>
      <c r="I26" s="97" t="str">
        <f>+'Plan de Adquisiciones '!I45</f>
        <v>Prestación de servicios profesionales para la construcción de indicadores e instrumentos cualitativos del estudio “Abordaje integral de la maternidad y la paternidad tempranas en el contexto escolar – fase II. Elaboración de un cuerpo de indicadores”, en el marco del Convenio 1452 del 17 de marzo de 2017 en su Componente 2.</v>
      </c>
      <c r="J26" s="97">
        <f>+'Plan de Adquisiciones '!J45</f>
        <v>80111621</v>
      </c>
      <c r="K26" s="97" t="str">
        <f>+'Plan de Adquisiciones '!K45</f>
        <v>Asesor 105-03</v>
      </c>
      <c r="L26" s="97" t="str">
        <f>+'Plan de Adquisiciones '!L45</f>
        <v>Martha Cuevas</v>
      </c>
      <c r="M26" s="97" t="s">
        <v>503</v>
      </c>
      <c r="N26" s="97" t="str">
        <f>+'Plan de Adquisiciones '!N45</f>
        <v>Mayo</v>
      </c>
      <c r="O26" s="97"/>
      <c r="P26" s="98">
        <f>+'Plan de Adquisiciones '!O45</f>
        <v>4</v>
      </c>
      <c r="Q26" s="97" t="str">
        <f>+'Plan de Adquisiciones '!P45</f>
        <v xml:space="preserve"> Contratación Directa</v>
      </c>
      <c r="R26" s="97" t="str">
        <f>+'Plan de Adquisiciones '!Q45</f>
        <v>Directa</v>
      </c>
      <c r="S26" s="107">
        <f>+'Plan de Adquisiciones '!R45</f>
        <v>14936309</v>
      </c>
      <c r="T26" s="107">
        <f>+'Plan de Adquisiciones '!S45</f>
        <v>4982050</v>
      </c>
      <c r="U26" s="107">
        <f>+'Plan de Adquisiciones '!T45</f>
        <v>19918359</v>
      </c>
      <c r="V26" s="98">
        <f>+'Plan de Adquisiciones '!U45</f>
        <v>1</v>
      </c>
      <c r="W26" s="107">
        <f>+'Plan de Adquisiciones '!V45</f>
        <v>14936309</v>
      </c>
      <c r="X26" s="107">
        <f>+'Plan de Adquisiciones '!W45</f>
        <v>4982050</v>
      </c>
      <c r="Y26" s="107">
        <f>+'Plan de Adquisiciones '!X45</f>
        <v>19918359</v>
      </c>
      <c r="Z26" s="106">
        <f>+'Plan de Adquisiciones '!Y45</f>
        <v>42863</v>
      </c>
      <c r="AA26" s="106" t="s">
        <v>56</v>
      </c>
      <c r="AB26" s="106"/>
      <c r="AC26" s="97">
        <f>+'Plan de Adquisiciones '!Z45</f>
        <v>74</v>
      </c>
      <c r="AD26" s="108" t="str">
        <f>+'Plan de Adquisiciones '!AA45</f>
        <v>ALEJANDRA QUINTANA MARTINEZ</v>
      </c>
      <c r="AE26" s="100">
        <f>+'Plan de Adquisiciones '!AB53</f>
        <v>33197265</v>
      </c>
    </row>
    <row r="27" spans="1:31" ht="77.25" customHeight="1" x14ac:dyDescent="0.25">
      <c r="A27" s="60" t="s">
        <v>163</v>
      </c>
      <c r="B27" s="60" t="s">
        <v>147</v>
      </c>
      <c r="C27" s="60" t="s">
        <v>132</v>
      </c>
      <c r="D27" s="60" t="s">
        <v>36</v>
      </c>
      <c r="E27" s="60" t="s">
        <v>36</v>
      </c>
      <c r="F27" s="97">
        <f>+'Plan de Adquisiciones '!F46</f>
        <v>0</v>
      </c>
      <c r="G27" s="98">
        <f>+'Plan de Adquisiciones '!G46</f>
        <v>210</v>
      </c>
      <c r="H27" s="97">
        <f>+'Plan de Adquisiciones '!H46</f>
        <v>0</v>
      </c>
      <c r="I27" s="97" t="str">
        <f>+'Plan de Adquisiciones '!I46</f>
        <v>Prestación de servicios profesionales para la construcción de indicadores e instrumentos cuantitativos del estudio “Abordaje integral de la maternidad y la paternidad tempranas en el contexto escolar – fase II. Elaboración de un cuerpo de indicadores”, en el marco del Convenio 1452 de 2017 en su Componente 2.</v>
      </c>
      <c r="J27" s="97">
        <f>+'Plan de Adquisiciones '!J46</f>
        <v>80111621</v>
      </c>
      <c r="K27" s="97" t="str">
        <f>+'Plan de Adquisiciones '!K46</f>
        <v>Asesor 105-03</v>
      </c>
      <c r="L27" s="97" t="str">
        <f>+'Plan de Adquisiciones '!L46</f>
        <v>Martha Cuevas</v>
      </c>
      <c r="M27" s="97" t="s">
        <v>503</v>
      </c>
      <c r="N27" s="97" t="str">
        <f>+'Plan de Adquisiciones '!N46</f>
        <v>Mayo</v>
      </c>
      <c r="O27" s="97"/>
      <c r="P27" s="98">
        <f>+'Plan de Adquisiciones '!O46</f>
        <v>4</v>
      </c>
      <c r="Q27" s="97" t="str">
        <f>+'Plan de Adquisiciones '!P46</f>
        <v xml:space="preserve"> Contratación Directa</v>
      </c>
      <c r="R27" s="97" t="str">
        <f>+'Plan de Adquisiciones '!Q46</f>
        <v>Directa</v>
      </c>
      <c r="S27" s="107">
        <f>+'Plan de Adquisiciones '!R46</f>
        <v>0</v>
      </c>
      <c r="T27" s="107">
        <f>+'Plan de Adquisiciones '!S46</f>
        <v>19918359</v>
      </c>
      <c r="U27" s="107">
        <f>+'Plan de Adquisiciones '!T46</f>
        <v>19918359</v>
      </c>
      <c r="V27" s="98">
        <f>+'Plan de Adquisiciones '!U46</f>
        <v>1</v>
      </c>
      <c r="W27" s="107">
        <f>+'Plan de Adquisiciones '!V46</f>
        <v>0</v>
      </c>
      <c r="X27" s="107">
        <f>+'Plan de Adquisiciones '!W46</f>
        <v>19918359</v>
      </c>
      <c r="Y27" s="107">
        <f>+'Plan de Adquisiciones '!X46</f>
        <v>19918359</v>
      </c>
      <c r="Z27" s="106">
        <f>+'Plan de Adquisiciones '!Y46</f>
        <v>42864</v>
      </c>
      <c r="AA27" s="106" t="s">
        <v>56</v>
      </c>
      <c r="AB27" s="106"/>
      <c r="AC27" s="97">
        <f>+'Plan de Adquisiciones '!Z46</f>
        <v>76</v>
      </c>
      <c r="AD27" s="108" t="str">
        <f>+'Plan de Adquisiciones '!AA46</f>
        <v>ANA MARIA GIRALDO VARGAS</v>
      </c>
      <c r="AE27" s="100">
        <f>+'Plan de Adquisiciones '!AB54</f>
        <v>33197265</v>
      </c>
    </row>
    <row r="28" spans="1:31" ht="101.25" customHeight="1" x14ac:dyDescent="0.25">
      <c r="A28" s="60" t="s">
        <v>163</v>
      </c>
      <c r="B28" s="60" t="s">
        <v>147</v>
      </c>
      <c r="C28" s="60" t="s">
        <v>132</v>
      </c>
      <c r="D28" s="60" t="s">
        <v>36</v>
      </c>
      <c r="E28" s="60" t="s">
        <v>36</v>
      </c>
      <c r="F28" s="97">
        <f>+'Plan de Adquisiciones '!F47</f>
        <v>0</v>
      </c>
      <c r="G28" s="98">
        <f>+'Plan de Adquisiciones '!G47</f>
        <v>230</v>
      </c>
      <c r="H28" s="97">
        <f>+'Plan de Adquisiciones '!H47</f>
        <v>0</v>
      </c>
      <c r="I28" s="97" t="str">
        <f>+'Plan de Adquisiciones '!I47</f>
        <v>Prestación de servicios profesionales para realizar la gestión administrativa dentro del estudio "Abordaje integral de la maternidad y la paternidad tempranas en el contexto escolar – fase II. Elaboración de un cuerpo de indicadores”, en el marco del Convenio 1452 de 2017 en su Componente 2.</v>
      </c>
      <c r="J28" s="97">
        <f>+'Plan de Adquisiciones '!J47</f>
        <v>80111621</v>
      </c>
      <c r="K28" s="97" t="str">
        <f>+'Plan de Adquisiciones '!K47</f>
        <v>Asesor 105-03</v>
      </c>
      <c r="L28" s="97" t="str">
        <f>+'Plan de Adquisiciones '!L47</f>
        <v>Martha Cuevas</v>
      </c>
      <c r="M28" s="97" t="s">
        <v>503</v>
      </c>
      <c r="N28" s="97" t="str">
        <f>+'Plan de Adquisiciones '!N47</f>
        <v>Abril</v>
      </c>
      <c r="O28" s="97"/>
      <c r="P28" s="98">
        <f>+'Plan de Adquisiciones '!O47</f>
        <v>4</v>
      </c>
      <c r="Q28" s="97" t="str">
        <f>+'Plan de Adquisiciones '!P47</f>
        <v xml:space="preserve"> Contratación Directa</v>
      </c>
      <c r="R28" s="97" t="str">
        <f>+'Plan de Adquisiciones '!Q47</f>
        <v>Directa</v>
      </c>
      <c r="S28" s="107">
        <f>+'Plan de Adquisiciones '!R47</f>
        <v>14754340</v>
      </c>
      <c r="T28" s="107">
        <f>+'Plan de Adquisiciones '!S47</f>
        <v>0</v>
      </c>
      <c r="U28" s="107">
        <f>+'Plan de Adquisiciones '!T47</f>
        <v>14754340</v>
      </c>
      <c r="V28" s="98">
        <f>+'Plan de Adquisiciones '!U47</f>
        <v>1</v>
      </c>
      <c r="W28" s="107">
        <f>+'Plan de Adquisiciones '!V47</f>
        <v>14754340</v>
      </c>
      <c r="X28" s="107">
        <f>+'Plan de Adquisiciones '!W47</f>
        <v>0</v>
      </c>
      <c r="Y28" s="107">
        <f>+'Plan de Adquisiciones '!X47</f>
        <v>14754340</v>
      </c>
      <c r="Z28" s="106">
        <f>+'Plan de Adquisiciones '!Y47</f>
        <v>42849</v>
      </c>
      <c r="AA28" s="106" t="s">
        <v>63</v>
      </c>
      <c r="AB28" s="106"/>
      <c r="AC28" s="97">
        <f>+'Plan de Adquisiciones '!Z47</f>
        <v>56</v>
      </c>
      <c r="AD28" s="108" t="str">
        <f>+'Plan de Adquisiciones '!AA47</f>
        <v>ANA LUCIA FLOREZ GALVIS</v>
      </c>
    </row>
    <row r="29" spans="1:31" ht="146.25" x14ac:dyDescent="0.25">
      <c r="A29" s="60" t="s">
        <v>163</v>
      </c>
      <c r="B29" s="60" t="s">
        <v>147</v>
      </c>
      <c r="C29" s="60" t="s">
        <v>132</v>
      </c>
      <c r="D29" s="60" t="s">
        <v>36</v>
      </c>
      <c r="E29" s="60" t="s">
        <v>36</v>
      </c>
      <c r="F29" s="97">
        <f>+'Plan de Adquisiciones '!F48</f>
        <v>0</v>
      </c>
      <c r="G29" s="98">
        <f>+'Plan de Adquisiciones '!G48</f>
        <v>246</v>
      </c>
      <c r="H29" s="97">
        <f>+'Plan de Adquisiciones '!H48</f>
        <v>0</v>
      </c>
      <c r="I29" s="97" t="str">
        <f>+'Plan de Adquisiciones '!I48</f>
        <v>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v>
      </c>
      <c r="J29" s="97">
        <f>+'Plan de Adquisiciones '!J48</f>
        <v>80111621</v>
      </c>
      <c r="K29" s="97" t="str">
        <f>+'Plan de Adquisiciones '!K48</f>
        <v>Asesor 105-02</v>
      </c>
      <c r="L29" s="97" t="str">
        <f>+'Plan de Adquisiciones '!L48</f>
        <v>María Isabel Ramírez</v>
      </c>
      <c r="M29" s="97" t="s">
        <v>503</v>
      </c>
      <c r="N29" s="97" t="str">
        <f>+'Plan de Adquisiciones '!N48</f>
        <v>Mayo</v>
      </c>
      <c r="O29" s="97"/>
      <c r="P29" s="98">
        <f>+'Plan de Adquisiciones '!O48</f>
        <v>7</v>
      </c>
      <c r="Q29" s="97" t="str">
        <f>+'Plan de Adquisiciones '!P48</f>
        <v xml:space="preserve"> Contratación Directa</v>
      </c>
      <c r="R29" s="97" t="str">
        <f>+'Plan de Adquisiciones '!Q48</f>
        <v>Directa</v>
      </c>
      <c r="S29" s="107">
        <f>+'Plan de Adquisiciones '!R48</f>
        <v>3309351</v>
      </c>
      <c r="T29" s="107">
        <f>+'Plan de Adquisiciones '!S48</f>
        <v>0</v>
      </c>
      <c r="U29" s="107">
        <f>+'Plan de Adquisiciones '!T48</f>
        <v>3309351</v>
      </c>
      <c r="V29" s="98">
        <f>+'Plan de Adquisiciones '!U48</f>
        <v>0</v>
      </c>
      <c r="W29" s="107">
        <f>+'Plan de Adquisiciones '!V48</f>
        <v>3309351</v>
      </c>
      <c r="X29" s="107">
        <f>+'Plan de Adquisiciones '!W48</f>
        <v>0</v>
      </c>
      <c r="Y29" s="107">
        <f>+'Plan de Adquisiciones '!X48</f>
        <v>3309351</v>
      </c>
      <c r="Z29" s="106">
        <v>42871</v>
      </c>
      <c r="AA29" s="106" t="s">
        <v>56</v>
      </c>
      <c r="AB29" s="106"/>
      <c r="AC29" s="106">
        <f>+'Plan de Adquisiciones '!Z48</f>
        <v>82</v>
      </c>
      <c r="AD29" s="108" t="str">
        <f>+'Plan de Adquisiciones '!AA48</f>
        <v>CORPORACION MIXTA PARA LA INVESTIGACION Y DESARROLLO DE LA EDUCACION - CORPOEDUCACION</v>
      </c>
      <c r="AE29" s="100">
        <f>+'Plan de Adquisiciones '!AB56</f>
        <v>140000000</v>
      </c>
    </row>
    <row r="30" spans="1:31" ht="123.75" x14ac:dyDescent="0.25">
      <c r="A30" s="59" t="s">
        <v>163</v>
      </c>
      <c r="B30" s="59" t="str">
        <f>+B13</f>
        <v>Codigo 383 
Un sistema de seguimiento a la Política Educativa Distrital en los contestos Escolare Ajustado e Implementado</v>
      </c>
      <c r="C30" s="59" t="str">
        <f>+C13</f>
        <v>Componente No.1 "Sistema de Seguimiento a la política educativa distrital en los contextos escolares."</v>
      </c>
      <c r="D30" s="59" t="s">
        <v>128</v>
      </c>
      <c r="E30" s="59" t="s">
        <v>128</v>
      </c>
      <c r="F30" s="97" t="str">
        <f>+'Plan de Adquisiciones '!F50</f>
        <v>Estudio Educación y Polìticas Publicas: Sistema de Monitoreo de los Estandars de Calidad en Educación inicial</v>
      </c>
      <c r="G30" s="98">
        <f>+'Plan de Adquisiciones '!G50</f>
        <v>212</v>
      </c>
      <c r="H30" s="97">
        <f>+'Plan de Adquisiciones '!H50</f>
        <v>0</v>
      </c>
      <c r="I30" s="97" t="str">
        <f>+'Plan de Adquisiciones '!I50</f>
        <v>Prestación de servicios profesionales para la articulación y consolidación de la información producida durante el desarrollo del estudio de elaboración y aplicación de un sistema de monitoreo al cumplimiento de los estándares de calidad en Educación Inicial, en el marco del Convenio 1452 de 2017 en su componente 3.</v>
      </c>
      <c r="J30" s="97">
        <f>+'Plan de Adquisiciones '!J50</f>
        <v>80111601</v>
      </c>
      <c r="K30" s="97" t="str">
        <f>+'Plan de Adquisiciones '!K50</f>
        <v>Asesor 105-03</v>
      </c>
      <c r="L30" s="97" t="str">
        <f>+'Plan de Adquisiciones '!L50</f>
        <v>Martha Cuevas</v>
      </c>
      <c r="M30" s="97" t="s">
        <v>503</v>
      </c>
      <c r="N30" s="97" t="str">
        <f>+'Plan de Adquisiciones '!N43</f>
        <v>Mayo</v>
      </c>
      <c r="O30" s="97"/>
      <c r="P30" s="98">
        <f>+'Plan de Adquisiciones '!O50</f>
        <v>8</v>
      </c>
      <c r="Q30" s="97" t="str">
        <f>+'Plan de Adquisiciones '!P50</f>
        <v xml:space="preserve"> Contratación Directa</v>
      </c>
      <c r="R30" s="97" t="str">
        <f>+'Plan de Adquisiciones '!Q50</f>
        <v>Directa</v>
      </c>
      <c r="S30" s="107">
        <f>+'Plan de Adquisiciones '!R50</f>
        <v>0</v>
      </c>
      <c r="T30" s="107">
        <f>+'Plan de Adquisiciones '!S50</f>
        <v>64919096</v>
      </c>
      <c r="U30" s="107">
        <f>+'Plan de Adquisiciones '!T50</f>
        <v>64919096</v>
      </c>
      <c r="V30" s="98">
        <f>+'Plan de Adquisiciones '!U50</f>
        <v>1</v>
      </c>
      <c r="W30" s="107">
        <f>+'Plan de Adquisiciones '!V50</f>
        <v>0</v>
      </c>
      <c r="X30" s="107">
        <f>+'Plan de Adquisiciones '!W50</f>
        <v>64919096</v>
      </c>
      <c r="Y30" s="107">
        <f>+'Plan de Adquisiciones '!X50</f>
        <v>64919096</v>
      </c>
      <c r="Z30" s="106">
        <f>+'Plan de Adquisiciones '!Y50</f>
        <v>42851</v>
      </c>
      <c r="AA30" s="106" t="s">
        <v>63</v>
      </c>
      <c r="AB30" s="106"/>
      <c r="AC30" s="97">
        <f>+'Plan de Adquisiciones '!Z50</f>
        <v>63</v>
      </c>
      <c r="AD30" s="108" t="str">
        <f>+'Plan de Adquisiciones '!AA50</f>
        <v>LUZ MARIBEL PAEZ MENDIETA</v>
      </c>
    </row>
    <row r="31" spans="1:31" ht="146.25" x14ac:dyDescent="0.25">
      <c r="A31" s="59" t="s">
        <v>163</v>
      </c>
      <c r="B31" s="59" t="s">
        <v>147</v>
      </c>
      <c r="C31" s="59" t="s">
        <v>132</v>
      </c>
      <c r="D31" s="59" t="s">
        <v>128</v>
      </c>
      <c r="E31" s="59" t="s">
        <v>128</v>
      </c>
      <c r="F31" s="97">
        <f>+'Plan de Adquisiciones '!F51</f>
        <v>0</v>
      </c>
      <c r="G31" s="98">
        <f>+'Plan de Adquisiciones '!G51</f>
        <v>213</v>
      </c>
      <c r="H31" s="97">
        <f>+'Plan de Adquisiciones '!H51</f>
        <v>0</v>
      </c>
      <c r="I31" s="97" t="str">
        <f>+'Plan de Adquisiciones '!I51</f>
        <v>Prestación de servicios profesionales para el ajuste, validación de la metodología, monitoreo a la aplicación, análisis e interpretación de resultados de instrumentos cuantitativos del estudio de elaboración y aplicación de un sistema de monitoreo al cumplimiento de los estándares de calidad en Educación Inicial, en el marco del Convenio 1452 de 2017 en su componente 3.</v>
      </c>
      <c r="J31" s="97">
        <f>+'Plan de Adquisiciones '!J51</f>
        <v>80111601</v>
      </c>
      <c r="K31" s="97" t="str">
        <f>+'Plan de Adquisiciones '!K51</f>
        <v>Asesor 105-03</v>
      </c>
      <c r="L31" s="97" t="str">
        <f>+'Plan de Adquisiciones '!L51</f>
        <v>Martha Cuevas</v>
      </c>
      <c r="M31" s="97" t="s">
        <v>503</v>
      </c>
      <c r="N31" s="97" t="str">
        <f>+'Plan de Adquisiciones '!N44</f>
        <v>Mayo</v>
      </c>
      <c r="O31" s="97"/>
      <c r="P31" s="98">
        <f>+'Plan de Adquisiciones '!O51</f>
        <v>7</v>
      </c>
      <c r="Q31" s="97" t="str">
        <f>+'Plan de Adquisiciones '!P51</f>
        <v xml:space="preserve"> Contratación Directa</v>
      </c>
      <c r="R31" s="97" t="str">
        <f>+'Plan de Adquisiciones '!Q51</f>
        <v>Directa</v>
      </c>
      <c r="S31" s="107">
        <f>+'Plan de Adquisiciones '!R51</f>
        <v>0</v>
      </c>
      <c r="T31" s="107">
        <f>+'Plan de Adquisiciones '!S51</f>
        <v>46476171</v>
      </c>
      <c r="U31" s="107">
        <f>+'Plan de Adquisiciones '!T51</f>
        <v>46476171</v>
      </c>
      <c r="V31" s="98">
        <f>+'Plan de Adquisiciones '!U51</f>
        <v>1</v>
      </c>
      <c r="W31" s="107">
        <f>+'Plan de Adquisiciones '!V51</f>
        <v>0</v>
      </c>
      <c r="X31" s="107">
        <f>+'Plan de Adquisiciones '!W51</f>
        <v>46476171</v>
      </c>
      <c r="Y31" s="107">
        <f>+'Plan de Adquisiciones '!X51</f>
        <v>46476171</v>
      </c>
      <c r="Z31" s="106">
        <f>+'Plan de Adquisiciones '!Y51</f>
        <v>42851</v>
      </c>
      <c r="AA31" s="106" t="s">
        <v>63</v>
      </c>
      <c r="AB31" s="106"/>
      <c r="AC31" s="97">
        <f>+'Plan de Adquisiciones '!Z51</f>
        <v>62</v>
      </c>
      <c r="AD31" s="108" t="str">
        <f>+'Plan de Adquisiciones '!AA51</f>
        <v>GLORIA DIMATE CASTELLANOS</v>
      </c>
    </row>
    <row r="32" spans="1:31" ht="146.25" x14ac:dyDescent="0.25">
      <c r="A32" s="59" t="s">
        <v>163</v>
      </c>
      <c r="B32" s="59" t="s">
        <v>147</v>
      </c>
      <c r="C32" s="59" t="s">
        <v>132</v>
      </c>
      <c r="D32" s="59" t="s">
        <v>128</v>
      </c>
      <c r="E32" s="59" t="s">
        <v>128</v>
      </c>
      <c r="F32" s="97">
        <f>+'Plan de Adquisiciones '!F52</f>
        <v>0</v>
      </c>
      <c r="G32" s="98">
        <f>+'Plan de Adquisiciones '!G52</f>
        <v>214</v>
      </c>
      <c r="H32" s="97">
        <f>+'Plan de Adquisiciones '!H52</f>
        <v>0</v>
      </c>
      <c r="I32" s="97" t="str">
        <f>+'Plan de Adquisiciones '!I52</f>
        <v>Prestación de servicios profesionales para el desarrollo, ajuste, monitoreo a la aplicación, análisis e interpretación de resultados de instrumentos cualitativos complementarios del estudio de elaboración y aplicación de un sistema de monitoreo al cumplimiento de los estándares de calidad en Educación Inicial, en el marco del Convenio 1452 de 2017 en su componente 3.</v>
      </c>
      <c r="J32" s="97">
        <f>+'Plan de Adquisiciones '!J52</f>
        <v>80111601</v>
      </c>
      <c r="K32" s="97" t="str">
        <f>+'Plan de Adquisiciones '!K52</f>
        <v>Asesor 105-03</v>
      </c>
      <c r="L32" s="97" t="str">
        <f>+'Plan de Adquisiciones '!L52</f>
        <v>Martha Cuevas</v>
      </c>
      <c r="M32" s="97" t="s">
        <v>503</v>
      </c>
      <c r="N32" s="97" t="str">
        <f>+'Plan de Adquisiciones '!N45</f>
        <v>Mayo</v>
      </c>
      <c r="O32" s="97"/>
      <c r="P32" s="98">
        <f>+'Plan de Adquisiciones '!O52</f>
        <v>7</v>
      </c>
      <c r="Q32" s="97" t="str">
        <f>+'Plan de Adquisiciones '!P52</f>
        <v xml:space="preserve"> Contratación Directa</v>
      </c>
      <c r="R32" s="97" t="str">
        <f>+'Plan de Adquisiciones '!Q52</f>
        <v>Directa</v>
      </c>
      <c r="S32" s="107">
        <f>+'Plan de Adquisiciones '!R52</f>
        <v>0</v>
      </c>
      <c r="T32" s="107">
        <f>+'Plan de Adquisiciones '!S52</f>
        <v>46476171</v>
      </c>
      <c r="U32" s="107">
        <f>+'Plan de Adquisiciones '!T52</f>
        <v>46476171</v>
      </c>
      <c r="V32" s="98">
        <f>+'Plan de Adquisiciones '!U52</f>
        <v>1</v>
      </c>
      <c r="W32" s="107">
        <f>+'Plan de Adquisiciones '!V52</f>
        <v>0</v>
      </c>
      <c r="X32" s="107">
        <f>+'Plan de Adquisiciones '!W52</f>
        <v>46476171</v>
      </c>
      <c r="Y32" s="107">
        <f>+'Plan de Adquisiciones '!X52</f>
        <v>46476171</v>
      </c>
      <c r="Z32" s="106">
        <f>+'Plan de Adquisiciones '!Y52</f>
        <v>42851</v>
      </c>
      <c r="AA32" s="106" t="s">
        <v>63</v>
      </c>
      <c r="AB32" s="106"/>
      <c r="AC32" s="97">
        <f>+'Plan de Adquisiciones '!Z52</f>
        <v>61</v>
      </c>
      <c r="AD32" s="108" t="str">
        <f>+'Plan de Adquisiciones '!AA52</f>
        <v>ADRIANA CASTRO ROJAS</v>
      </c>
    </row>
    <row r="33" spans="1:101" ht="135" x14ac:dyDescent="0.25">
      <c r="A33" s="59" t="s">
        <v>163</v>
      </c>
      <c r="B33" s="59" t="s">
        <v>147</v>
      </c>
      <c r="C33" s="59" t="s">
        <v>132</v>
      </c>
      <c r="D33" s="59" t="s">
        <v>128</v>
      </c>
      <c r="E33" s="59" t="s">
        <v>128</v>
      </c>
      <c r="F33" s="97">
        <f>+'Plan de Adquisiciones '!F53</f>
        <v>0</v>
      </c>
      <c r="G33" s="98">
        <f>+'Plan de Adquisiciones '!G53</f>
        <v>215</v>
      </c>
      <c r="H33" s="97">
        <f>+'Plan de Adquisiciones '!H53</f>
        <v>0</v>
      </c>
      <c r="I33" s="97" t="str">
        <f>+'Plan de Adquisiciones '!I53</f>
        <v>Prestación de servicios profesionales para elaborar, implementar, evaluar y validar las estrategias operativa, comunicativa y de movilización social del estudio de elaboración y aplicación de un sistema de monitoreo al cumplimiento de los estándares de calidad en Educación Inicial, en el marco del Convenio 1452 de 2017 en su componente 3.</v>
      </c>
      <c r="J33" s="97">
        <f>+'Plan de Adquisiciones '!J53</f>
        <v>80111601</v>
      </c>
      <c r="K33" s="97" t="str">
        <f>+'Plan de Adquisiciones '!K53</f>
        <v>Asesor 105-03</v>
      </c>
      <c r="L33" s="97" t="str">
        <f>+'Plan de Adquisiciones '!L53</f>
        <v>Martha Cuevas</v>
      </c>
      <c r="M33" s="97" t="s">
        <v>503</v>
      </c>
      <c r="N33" s="97" t="str">
        <f>+'Plan de Adquisiciones '!N46</f>
        <v>Mayo</v>
      </c>
      <c r="O33" s="97"/>
      <c r="P33" s="98">
        <f>+'Plan de Adquisiciones '!O53</f>
        <v>7</v>
      </c>
      <c r="Q33" s="97" t="str">
        <f>+'Plan de Adquisiciones '!P53</f>
        <v xml:space="preserve"> Contratación Directa</v>
      </c>
      <c r="R33" s="97" t="str">
        <f>+'Plan de Adquisiciones '!Q53</f>
        <v>Directa</v>
      </c>
      <c r="S33" s="107">
        <f>+'Plan de Adquisiciones '!R53</f>
        <v>0</v>
      </c>
      <c r="T33" s="107">
        <f>+'Plan de Adquisiciones '!S53</f>
        <v>46476171</v>
      </c>
      <c r="U33" s="107">
        <f>+'Plan de Adquisiciones '!T53</f>
        <v>46476171</v>
      </c>
      <c r="V33" s="98">
        <f>+'Plan de Adquisiciones '!U53</f>
        <v>1</v>
      </c>
      <c r="W33" s="107">
        <f>+'Plan de Adquisiciones '!V53</f>
        <v>0</v>
      </c>
      <c r="X33" s="107">
        <f>+'Plan de Adquisiciones '!W53</f>
        <v>46476171</v>
      </c>
      <c r="Y33" s="107">
        <f>+'Plan de Adquisiciones '!X53</f>
        <v>46476171</v>
      </c>
      <c r="Z33" s="106">
        <f>+'Plan de Adquisiciones '!Y53</f>
        <v>42852</v>
      </c>
      <c r="AA33" s="106" t="s">
        <v>63</v>
      </c>
      <c r="AB33" s="106"/>
      <c r="AC33" s="97">
        <f>+'Plan de Adquisiciones '!Z53</f>
        <v>65</v>
      </c>
      <c r="AD33" s="108" t="str">
        <f>+'Plan de Adquisiciones '!AA53</f>
        <v>ADRIANA MOLANO VARGAS</v>
      </c>
    </row>
    <row r="34" spans="1:101" ht="135" x14ac:dyDescent="0.25">
      <c r="A34" s="59" t="s">
        <v>163</v>
      </c>
      <c r="B34" s="59" t="str">
        <f>+B15</f>
        <v>Codigo 383 
Un sistema de seguimiento a la Política Educativa Distrital en los contestos Escolare Ajustado e Implementado</v>
      </c>
      <c r="C34" s="59" t="str">
        <f>+C15</f>
        <v>Componente No.1 "Sistema de Seguimiento a la política educativa distrital en los contextos escolares."</v>
      </c>
      <c r="D34" s="59" t="s">
        <v>128</v>
      </c>
      <c r="E34" s="59" t="s">
        <v>128</v>
      </c>
      <c r="F34" s="97">
        <f>+'Plan de Adquisiciones '!F54</f>
        <v>0</v>
      </c>
      <c r="G34" s="98">
        <f>+'Plan de Adquisiciones '!G54</f>
        <v>216</v>
      </c>
      <c r="H34" s="97">
        <f>+'Plan de Adquisiciones '!H54</f>
        <v>0</v>
      </c>
      <c r="I34" s="97" t="str">
        <f>+'Plan de Adquisiciones '!I54</f>
        <v>Prestación de servicios profesionales para preparar, implementar y evaluar la estrategia de gestión de la información y del conocimiento del estudio de elaboración y aplicación de un sistema de monitoreo al cumplimiento de los estándares de calidad en Educación Inicial en el marco del Convenio 1452 del 17 de marzo de 2017 en su componente 3.</v>
      </c>
      <c r="J34" s="97">
        <f>+'Plan de Adquisiciones '!J54</f>
        <v>80111601</v>
      </c>
      <c r="K34" s="97" t="str">
        <f>+'Plan de Adquisiciones '!K54</f>
        <v>Asesor 105-03</v>
      </c>
      <c r="L34" s="97" t="str">
        <f>+'Plan de Adquisiciones '!L54</f>
        <v>Martha Cuevas</v>
      </c>
      <c r="M34" s="97" t="s">
        <v>503</v>
      </c>
      <c r="N34" s="97" t="str">
        <f>+'Plan de Adquisiciones '!N47</f>
        <v>Abril</v>
      </c>
      <c r="O34" s="97"/>
      <c r="P34" s="98">
        <f>+'Plan de Adquisiciones '!O54</f>
        <v>7</v>
      </c>
      <c r="Q34" s="97" t="str">
        <f>+'Plan de Adquisiciones '!P54</f>
        <v xml:space="preserve"> Contratación Directa</v>
      </c>
      <c r="R34" s="97" t="str">
        <f>+'Plan de Adquisiciones '!Q54</f>
        <v>Directa</v>
      </c>
      <c r="S34" s="107">
        <f>+'Plan de Adquisiciones '!R54</f>
        <v>0</v>
      </c>
      <c r="T34" s="107">
        <f>+'Plan de Adquisiciones '!S54</f>
        <v>46476171</v>
      </c>
      <c r="U34" s="107">
        <f>+'Plan de Adquisiciones '!T54</f>
        <v>46476171</v>
      </c>
      <c r="V34" s="98">
        <f>+'Plan de Adquisiciones '!U54</f>
        <v>1</v>
      </c>
      <c r="W34" s="107">
        <f>+'Plan de Adquisiciones '!V54</f>
        <v>0</v>
      </c>
      <c r="X34" s="107">
        <f>+'Plan de Adquisiciones '!W54</f>
        <v>46476171</v>
      </c>
      <c r="Y34" s="107">
        <f>+'Plan de Adquisiciones '!X54</f>
        <v>46476171</v>
      </c>
      <c r="Z34" s="106">
        <f>+'Plan de Adquisiciones '!Y54</f>
        <v>42852</v>
      </c>
      <c r="AA34" s="106" t="s">
        <v>63</v>
      </c>
      <c r="AB34" s="106"/>
      <c r="AC34" s="97">
        <f>+'Plan de Adquisiciones '!Z54</f>
        <v>67</v>
      </c>
      <c r="AD34" s="108" t="str">
        <f>+'Plan de Adquisiciones '!AA54</f>
        <v>RAFAEL CANO RAMIREZ</v>
      </c>
    </row>
    <row r="35" spans="1:101" ht="45.75" customHeight="1" x14ac:dyDescent="0.25">
      <c r="A35" s="59" t="s">
        <v>163</v>
      </c>
      <c r="B35" s="59" t="s">
        <v>147</v>
      </c>
      <c r="C35" s="59" t="s">
        <v>132</v>
      </c>
      <c r="D35" s="59" t="s">
        <v>128</v>
      </c>
      <c r="E35" s="59" t="s">
        <v>128</v>
      </c>
      <c r="F35" s="97">
        <f>+'Plan de Adquisiciones '!F55</f>
        <v>0</v>
      </c>
      <c r="G35" s="98">
        <f>+'Plan de Adquisiciones '!G55</f>
        <v>217</v>
      </c>
      <c r="H35" s="97">
        <f>+'Plan de Adquisiciones '!H55</f>
        <v>0</v>
      </c>
      <c r="I35" s="97" t="str">
        <f>+'Plan de Adquisiciones '!I55</f>
        <v>Prestación de servicios profesionales para apoyar en la gestión administrativa del estudio de elaboración y aplicación de un sistema de monitoreo al cumplimiento de los estándares de calidad en Educación Inicial, en el marco del Convenio 1452 de 2017 en su componente 3</v>
      </c>
      <c r="J35" s="97">
        <f>+'Plan de Adquisiciones '!J55</f>
        <v>80111601</v>
      </c>
      <c r="K35" s="97" t="str">
        <f>+'Plan de Adquisiciones '!K55</f>
        <v>Asesor 105-03</v>
      </c>
      <c r="L35" s="97" t="str">
        <f>+'Plan de Adquisiciones '!L55</f>
        <v>Martha Cuevas</v>
      </c>
      <c r="M35" s="97" t="s">
        <v>503</v>
      </c>
      <c r="N35" s="97" t="str">
        <f>+'Plan de Adquisiciones '!N48</f>
        <v>Mayo</v>
      </c>
      <c r="O35" s="97"/>
      <c r="P35" s="98">
        <f>+'Plan de Adquisiciones '!O55</f>
        <v>8</v>
      </c>
      <c r="Q35" s="97" t="str">
        <f>+'Plan de Adquisiciones '!P55</f>
        <v xml:space="preserve"> Contratación Directa</v>
      </c>
      <c r="R35" s="97" t="str">
        <f>+'Plan de Adquisiciones '!Q55</f>
        <v>Directa</v>
      </c>
      <c r="S35" s="107">
        <f>+'Plan de Adquisiciones '!R55</f>
        <v>0</v>
      </c>
      <c r="T35" s="107">
        <f>+'Plan de Adquisiciones '!S55</f>
        <v>28770963</v>
      </c>
      <c r="U35" s="107">
        <f>+'Plan de Adquisiciones '!T55</f>
        <v>28770963</v>
      </c>
      <c r="V35" s="98">
        <f>+'Plan de Adquisiciones '!U55</f>
        <v>1</v>
      </c>
      <c r="W35" s="107">
        <f>+'Plan de Adquisiciones '!V55</f>
        <v>0</v>
      </c>
      <c r="X35" s="107">
        <f>+'Plan de Adquisiciones '!W55</f>
        <v>28770963</v>
      </c>
      <c r="Y35" s="107">
        <f>+'Plan de Adquisiciones '!X55</f>
        <v>28770963</v>
      </c>
      <c r="Z35" s="106">
        <f>+'Plan de Adquisiciones '!Y55</f>
        <v>42844</v>
      </c>
      <c r="AA35" s="106" t="s">
        <v>63</v>
      </c>
      <c r="AB35" s="106"/>
      <c r="AC35" s="97">
        <f>+'Plan de Adquisiciones '!Z55</f>
        <v>47</v>
      </c>
      <c r="AD35" s="108" t="str">
        <f>+'Plan de Adquisiciones '!AA55</f>
        <v>JOHN RINCON HOLGUIN</v>
      </c>
    </row>
    <row r="36" spans="1:101" ht="135" x14ac:dyDescent="0.25">
      <c r="A36" s="59" t="s">
        <v>163</v>
      </c>
      <c r="B36" s="59" t="s">
        <v>147</v>
      </c>
      <c r="C36" s="59" t="s">
        <v>132</v>
      </c>
      <c r="D36" s="59" t="s">
        <v>128</v>
      </c>
      <c r="E36" s="59" t="s">
        <v>128</v>
      </c>
      <c r="F36" s="97">
        <f>+'Plan de Adquisiciones '!F56</f>
        <v>0</v>
      </c>
      <c r="G36" s="98">
        <f>+'Plan de Adquisiciones '!G56</f>
        <v>281</v>
      </c>
      <c r="H36" s="97">
        <f>+'Plan de Adquisiciones '!H56</f>
        <v>0</v>
      </c>
      <c r="I36" s="97" t="str">
        <f>+'Plan de Adquisiciones '!I56</f>
        <v>Prestación de servicios profesionales para apoyar los procesos académicos relacionados con la indagación cualitativa y cuantitativa y la construcción de los planes de mejora de un sistema de monitoreo al cumplimiento de los estándares de calidad en Educación Inicial, en el marco del Convenio 1452 de 2017 en su componente 3.</v>
      </c>
      <c r="J36" s="97">
        <f>+'Plan de Adquisiciones '!J56</f>
        <v>80111601</v>
      </c>
      <c r="K36" s="97" t="str">
        <f>+'Plan de Adquisiciones '!K56</f>
        <v>Asesor 105-03</v>
      </c>
      <c r="L36" s="97" t="str">
        <f>+'Plan de Adquisiciones '!L56</f>
        <v>Martha Cuevas</v>
      </c>
      <c r="M36" s="97" t="s">
        <v>503</v>
      </c>
      <c r="N36" s="97" t="str">
        <f>+'Plan de Adquisiciones '!N56</f>
        <v>Junio</v>
      </c>
      <c r="O36" s="97"/>
      <c r="P36" s="98">
        <f>+'Plan de Adquisiciones '!O56</f>
        <v>6</v>
      </c>
      <c r="Q36" s="97" t="str">
        <f>+'Plan de Adquisiciones '!P56</f>
        <v xml:space="preserve"> Contratación Directa</v>
      </c>
      <c r="R36" s="97" t="str">
        <f>+'Plan de Adquisiciones '!Q56</f>
        <v>Directa</v>
      </c>
      <c r="S36" s="107">
        <f>+'Plan de Adquisiciones '!R56</f>
        <v>0</v>
      </c>
      <c r="T36" s="107">
        <f>+'Plan de Adquisiciones '!S56</f>
        <v>200000000</v>
      </c>
      <c r="U36" s="107">
        <f>+'Plan de Adquisiciones '!T56</f>
        <v>200000000</v>
      </c>
      <c r="V36" s="98">
        <f>+'Plan de Adquisiciones '!U56</f>
        <v>0</v>
      </c>
      <c r="W36" s="107">
        <f>+'Plan de Adquisiciones '!V56</f>
        <v>0</v>
      </c>
      <c r="X36" s="107">
        <f>+'Plan de Adquisiciones '!W56</f>
        <v>200000000</v>
      </c>
      <c r="Y36" s="107">
        <f>+'Plan de Adquisiciones '!X56</f>
        <v>200000000</v>
      </c>
      <c r="Z36" s="106"/>
      <c r="AA36" s="106"/>
      <c r="AB36" s="106"/>
      <c r="AC36" s="97">
        <f>+'Plan de Adquisiciones '!Z56</f>
        <v>92</v>
      </c>
      <c r="AD36" s="108" t="str">
        <f>+'Plan de Adquisiciones '!AA56</f>
        <v>E-VALUAR</v>
      </c>
    </row>
    <row r="37" spans="1:101" ht="146.25" x14ac:dyDescent="0.25">
      <c r="A37" s="59" t="s">
        <v>163</v>
      </c>
      <c r="B37" s="59" t="e">
        <f>+#REF!</f>
        <v>#REF!</v>
      </c>
      <c r="C37" s="59" t="e">
        <f>+#REF!</f>
        <v>#REF!</v>
      </c>
      <c r="D37" s="59" t="s">
        <v>128</v>
      </c>
      <c r="E37" s="59" t="s">
        <v>128</v>
      </c>
      <c r="F37" s="97">
        <f>+'Plan de Adquisiciones '!F57</f>
        <v>0</v>
      </c>
      <c r="G37" s="98">
        <f>+'Plan de Adquisiciones '!G57</f>
        <v>246</v>
      </c>
      <c r="H37" s="97">
        <f>+'Plan de Adquisiciones '!H57</f>
        <v>0</v>
      </c>
      <c r="I37" s="97" t="str">
        <f>+'Plan de Adquisiciones '!I57</f>
        <v>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v>
      </c>
      <c r="J37" s="97">
        <f>+'Plan de Adquisiciones '!J57</f>
        <v>80111601</v>
      </c>
      <c r="K37" s="97" t="str">
        <f>+'Plan de Adquisiciones '!K57</f>
        <v>Asesor 105-02</v>
      </c>
      <c r="L37" s="97" t="str">
        <f>+'Plan de Adquisiciones '!L57</f>
        <v>María Isabel Ramírez</v>
      </c>
      <c r="M37" s="97" t="s">
        <v>503</v>
      </c>
      <c r="N37" s="97" t="str">
        <f>+'Plan de Adquisiciones '!N57</f>
        <v>Mayo</v>
      </c>
      <c r="O37" s="97"/>
      <c r="P37" s="98">
        <f>+'Plan de Adquisiciones '!O57</f>
        <v>7</v>
      </c>
      <c r="Q37" s="97" t="str">
        <f>+'Plan de Adquisiciones '!P57</f>
        <v xml:space="preserve"> Contratación Directa</v>
      </c>
      <c r="R37" s="97" t="str">
        <f>+'Plan de Adquisiciones '!Q57</f>
        <v>Directa</v>
      </c>
      <c r="S37" s="107">
        <f>+'Plan de Adquisiciones '!R57</f>
        <v>0</v>
      </c>
      <c r="T37" s="107">
        <f>+'Plan de Adquisiciones '!S57</f>
        <v>18405257</v>
      </c>
      <c r="U37" s="107">
        <f>+'Plan de Adquisiciones '!T57</f>
        <v>18405257</v>
      </c>
      <c r="V37" s="98">
        <f>+'Plan de Adquisiciones '!U57</f>
        <v>0</v>
      </c>
      <c r="W37" s="107">
        <f>+'Plan de Adquisiciones '!V57</f>
        <v>0</v>
      </c>
      <c r="X37" s="107">
        <f>+'Plan de Adquisiciones '!W57</f>
        <v>18405257</v>
      </c>
      <c r="Y37" s="107">
        <f>+'Plan de Adquisiciones '!X57</f>
        <v>18405257</v>
      </c>
      <c r="Z37" s="106">
        <v>42871</v>
      </c>
      <c r="AA37" s="106" t="s">
        <v>56</v>
      </c>
      <c r="AB37" s="106"/>
      <c r="AC37" s="106">
        <f>+'Plan de Adquisiciones '!Z57</f>
        <v>82</v>
      </c>
      <c r="AD37" s="108" t="str">
        <f>+'Plan de Adquisiciones '!AA57</f>
        <v>CORPORACION MIXTA PARA LA INVESTIGACION Y DESARROLLO DE LA EDUCACION - CORPOEDUCACION</v>
      </c>
    </row>
    <row r="38" spans="1:101" ht="45" x14ac:dyDescent="0.25">
      <c r="A38" s="59" t="s">
        <v>163</v>
      </c>
      <c r="B38" s="59" t="e">
        <f>+#REF!</f>
        <v>#REF!</v>
      </c>
      <c r="C38" s="59" t="e">
        <f>+#REF!</f>
        <v>#REF!</v>
      </c>
      <c r="D38" s="59" t="s">
        <v>128</v>
      </c>
      <c r="E38" s="59" t="s">
        <v>128</v>
      </c>
      <c r="F38" s="97" t="str">
        <f>+'Plan de Adquisiciones '!F60</f>
        <v>Proyectos Editoriales. Componente 1</v>
      </c>
      <c r="G38" s="98">
        <f>+'Plan de Adquisiciones '!G60</f>
        <v>139</v>
      </c>
      <c r="H38" s="97">
        <f>+'Plan de Adquisiciones '!H60</f>
        <v>0</v>
      </c>
      <c r="I38" s="97" t="str">
        <f>+'Plan de Adquisiciones '!I60</f>
        <v>Prestación de servicios para realizar la edición, el diseño y la diagramación de la Revista Educación y Ciudad.</v>
      </c>
      <c r="J38" s="97">
        <f>+'Plan de Adquisiciones '!J60</f>
        <v>82111801</v>
      </c>
      <c r="K38" s="97" t="str">
        <f>+'Plan de Adquisiciones '!K60</f>
        <v>Profesional 222-05</v>
      </c>
      <c r="L38" s="97" t="str">
        <f>+'Plan de Adquisiciones '!L60</f>
        <v>Diana Prada</v>
      </c>
      <c r="M38" s="97" t="s">
        <v>503</v>
      </c>
      <c r="N38" s="97" t="str">
        <f>+'Plan de Adquisiciones '!N60</f>
        <v>Marzo</v>
      </c>
      <c r="O38" s="97"/>
      <c r="P38" s="98">
        <f>+'Plan de Adquisiciones '!O60</f>
        <v>9</v>
      </c>
      <c r="Q38" s="97" t="str">
        <f>+'Plan de Adquisiciones '!P60</f>
        <v xml:space="preserve"> Contratación Directa</v>
      </c>
      <c r="R38" s="97" t="str">
        <f>+'Plan de Adquisiciones '!Q60</f>
        <v>Directa</v>
      </c>
      <c r="S38" s="107">
        <f>+'Plan de Adquisiciones '!R60</f>
        <v>25150000</v>
      </c>
      <c r="T38" s="107">
        <f>+'Plan de Adquisiciones '!S60</f>
        <v>0</v>
      </c>
      <c r="U38" s="107">
        <f>+'Plan de Adquisiciones '!T60</f>
        <v>25150000</v>
      </c>
      <c r="V38" s="98">
        <f>+'Plan de Adquisiciones '!U60</f>
        <v>1</v>
      </c>
      <c r="W38" s="107">
        <f>+'Plan de Adquisiciones '!V60</f>
        <v>25150000</v>
      </c>
      <c r="X38" s="107">
        <f>+'Plan de Adquisiciones '!W60</f>
        <v>0</v>
      </c>
      <c r="Y38" s="107">
        <f>+'Plan de Adquisiciones '!X60</f>
        <v>25150000</v>
      </c>
      <c r="Z38" s="106">
        <f>+'Plan de Adquisiciones '!Y60</f>
        <v>42803</v>
      </c>
      <c r="AA38" s="106" t="s">
        <v>87</v>
      </c>
      <c r="AB38" s="106"/>
      <c r="AC38" s="97">
        <f>+'Plan de Adquisiciones '!Z60</f>
        <v>30</v>
      </c>
      <c r="AD38" s="108" t="str">
        <f>+'Plan de Adquisiciones '!AA60</f>
        <v>EDITORIAL MAGISTERIO</v>
      </c>
    </row>
    <row r="39" spans="1:101" ht="56.25" x14ac:dyDescent="0.25">
      <c r="A39" s="59" t="s">
        <v>163</v>
      </c>
      <c r="B39" s="59" t="str">
        <f t="shared" ref="B39:C39" si="0">+B23</f>
        <v>Codigo 383 
Un sistema de seguimiento a la Política Educativa Distrital en los contestos Escolare Ajustado e Implementado</v>
      </c>
      <c r="C39" s="59" t="str">
        <f t="shared" si="0"/>
        <v>Componente No.1 "Sistema de Seguimiento a la política educativa distrital en los contextos escolares."</v>
      </c>
      <c r="D39" s="59" t="s">
        <v>128</v>
      </c>
      <c r="E39" s="59" t="s">
        <v>128</v>
      </c>
      <c r="F39" s="97">
        <f>+'Plan de Adquisiciones '!F61</f>
        <v>0</v>
      </c>
      <c r="G39" s="98">
        <f>+'Plan de Adquisiciones '!G61</f>
        <v>136</v>
      </c>
      <c r="H39" s="97">
        <f>+'Plan de Adquisiciones '!H61</f>
        <v>0</v>
      </c>
      <c r="I39" s="97" t="str">
        <f>+'Plan de Adquisiciones '!I61</f>
        <v>Prestación de servicios profesionales para realizar la edición del magazín "Aula Urbana".</v>
      </c>
      <c r="J39" s="97">
        <f>+'Plan de Adquisiciones '!J61</f>
        <v>82111801</v>
      </c>
      <c r="K39" s="97" t="str">
        <f>+'Plan de Adquisiciones '!K61</f>
        <v>Profesional 222-05</v>
      </c>
      <c r="L39" s="97" t="str">
        <f>+'Plan de Adquisiciones '!L61</f>
        <v>Diana Prada</v>
      </c>
      <c r="M39" s="97" t="s">
        <v>503</v>
      </c>
      <c r="N39" s="97" t="str">
        <f>+'Plan de Adquisiciones '!N61</f>
        <v>Febrero</v>
      </c>
      <c r="O39" s="97"/>
      <c r="P39" s="98">
        <f>+'Plan de Adquisiciones '!O61</f>
        <v>9</v>
      </c>
      <c r="Q39" s="97" t="str">
        <f>+'Plan de Adquisiciones '!P61</f>
        <v xml:space="preserve"> Contratación Directa</v>
      </c>
      <c r="R39" s="97" t="str">
        <f>+'Plan de Adquisiciones '!Q61</f>
        <v>Directa</v>
      </c>
      <c r="S39" s="107">
        <f>+'Plan de Adquisiciones '!R61</f>
        <v>11035738</v>
      </c>
      <c r="T39" s="107">
        <f>+'Plan de Adquisiciones '!S61</f>
        <v>0</v>
      </c>
      <c r="U39" s="107">
        <f>+'Plan de Adquisiciones '!T61</f>
        <v>11035738</v>
      </c>
      <c r="V39" s="98">
        <f>+'Plan de Adquisiciones '!U61</f>
        <v>1</v>
      </c>
      <c r="W39" s="107">
        <f>+'Plan de Adquisiciones '!V61</f>
        <v>11035738</v>
      </c>
      <c r="X39" s="107">
        <f>+'Plan de Adquisiciones '!W61</f>
        <v>0</v>
      </c>
      <c r="Y39" s="107">
        <f>+'Plan de Adquisiciones '!X61</f>
        <v>11035738</v>
      </c>
      <c r="Z39" s="106">
        <f>+'Plan de Adquisiciones '!Y61</f>
        <v>42794</v>
      </c>
      <c r="AA39" s="106" t="s">
        <v>51</v>
      </c>
      <c r="AB39" s="106"/>
      <c r="AC39" s="97">
        <f>+'Plan de Adquisiciones '!Z61</f>
        <v>12</v>
      </c>
      <c r="AD39" s="108" t="str">
        <f>+'Plan de Adquisiciones '!AA61</f>
        <v>JAVIER VARGAS ACOSTA</v>
      </c>
    </row>
    <row r="40" spans="1:101" ht="56.25" x14ac:dyDescent="0.25">
      <c r="A40" s="59" t="s">
        <v>163</v>
      </c>
      <c r="B40" s="59" t="str">
        <f>+B24</f>
        <v>Codigo 383 
Un sistema de seguimiento a la Política Educativa Distrital en los contestos Escolare Ajustado e Implementado</v>
      </c>
      <c r="C40" s="59" t="str">
        <f>+C24</f>
        <v>Componente No.1 "Sistema de Seguimiento a la política educativa distrital en los contextos escolares."</v>
      </c>
      <c r="D40" s="59" t="s">
        <v>128</v>
      </c>
      <c r="E40" s="59" t="s">
        <v>128</v>
      </c>
      <c r="F40" s="97">
        <f>+'Plan de Adquisiciones '!F62</f>
        <v>0</v>
      </c>
      <c r="G40" s="98">
        <f>+'Plan de Adquisiciones '!G62</f>
        <v>170</v>
      </c>
      <c r="H40" s="97">
        <f>+'Plan de Adquisiciones '!H62</f>
        <v>0</v>
      </c>
      <c r="I40" s="97" t="str">
        <f>+'Plan de Adquisiciones '!I62</f>
        <v>Prestación de servicios  para realizar el diseño y la diagramación del magazín "Aula Urbana".</v>
      </c>
      <c r="J40" s="97">
        <f>+'Plan de Adquisiciones '!J62</f>
        <v>82111801</v>
      </c>
      <c r="K40" s="97" t="str">
        <f>+'Plan de Adquisiciones '!K62</f>
        <v>Profesional 222-05</v>
      </c>
      <c r="L40" s="97" t="str">
        <f>+'Plan de Adquisiciones '!L62</f>
        <v>Diana Prada</v>
      </c>
      <c r="M40" s="97" t="s">
        <v>503</v>
      </c>
      <c r="N40" s="97" t="str">
        <f>+'Plan de Adquisiciones '!N62</f>
        <v>Febrero</v>
      </c>
      <c r="O40" s="97"/>
      <c r="P40" s="98">
        <f>+'Plan de Adquisiciones '!O62</f>
        <v>10</v>
      </c>
      <c r="Q40" s="97" t="str">
        <f>+'Plan de Adquisiciones '!P62</f>
        <v xml:space="preserve"> Contratación Directa</v>
      </c>
      <c r="R40" s="97" t="str">
        <f>+'Plan de Adquisiciones '!Q62</f>
        <v>Directa</v>
      </c>
      <c r="S40" s="107">
        <f>+'Plan de Adquisiciones '!R62</f>
        <v>7734262</v>
      </c>
      <c r="T40" s="107">
        <f>+'Plan de Adquisiciones '!S62</f>
        <v>0</v>
      </c>
      <c r="U40" s="107">
        <f>+'Plan de Adquisiciones '!T62</f>
        <v>7734262</v>
      </c>
      <c r="V40" s="98">
        <f>+'Plan de Adquisiciones '!U62</f>
        <v>1</v>
      </c>
      <c r="W40" s="107">
        <f>+'Plan de Adquisiciones '!V62</f>
        <v>7734262</v>
      </c>
      <c r="X40" s="107">
        <f>+'Plan de Adquisiciones '!W62</f>
        <v>0</v>
      </c>
      <c r="Y40" s="107">
        <f>+'Plan de Adquisiciones '!X62</f>
        <v>7734262</v>
      </c>
      <c r="Z40" s="106">
        <f>+'Plan de Adquisiciones '!Y62</f>
        <v>42804</v>
      </c>
      <c r="AA40" s="106" t="s">
        <v>87</v>
      </c>
      <c r="AB40" s="106"/>
      <c r="AC40" s="97">
        <f>+'Plan de Adquisiciones '!Z62</f>
        <v>32</v>
      </c>
      <c r="AD40" s="108" t="str">
        <f>+'Plan de Adquisiciones '!AA62</f>
        <v>ANDREA SARMIENTO BOHORQUEZ</v>
      </c>
    </row>
    <row r="41" spans="1:101" s="103" customFormat="1" ht="76.5" customHeight="1" x14ac:dyDescent="0.2">
      <c r="A41" s="59" t="s">
        <v>163</v>
      </c>
      <c r="B41" s="59" t="str">
        <f t="shared" ref="B41:C41" si="1">+B25</f>
        <v>Codigo 383 
Un sistema de seguimiento a la Política Educativa Distrital en los contestos Escolare Ajustado e Implementado</v>
      </c>
      <c r="C41" s="59" t="str">
        <f t="shared" si="1"/>
        <v>Componente No.1 "Sistema de Seguimiento a la política educativa distrital en los contextos escolares."</v>
      </c>
      <c r="D41" s="59" t="s">
        <v>128</v>
      </c>
      <c r="E41" s="59" t="s">
        <v>128</v>
      </c>
      <c r="F41" s="97">
        <f>+'Plan de Adquisiciones '!F63</f>
        <v>0</v>
      </c>
      <c r="G41" s="98">
        <f>+'Plan de Adquisiciones '!G63</f>
        <v>138</v>
      </c>
      <c r="H41" s="97">
        <f>+'Plan de Adquisiciones '!H63</f>
        <v>0</v>
      </c>
      <c r="I41" s="97" t="str">
        <f>+'Plan de Adquisiciones '!I63</f>
        <v xml:space="preserve">Prestación de servicios para realizar la edición, el diseño y la diagramación de libros de la serie editorial del  IDEP. </v>
      </c>
      <c r="J41" s="97">
        <f>+'Plan de Adquisiciones '!J63</f>
        <v>82111801</v>
      </c>
      <c r="K41" s="97" t="str">
        <f>+'Plan de Adquisiciones '!K63</f>
        <v>Profesional 222-05</v>
      </c>
      <c r="L41" s="97" t="str">
        <f>+'Plan de Adquisiciones '!L63</f>
        <v>Diana Prada</v>
      </c>
      <c r="M41" s="97" t="s">
        <v>503</v>
      </c>
      <c r="N41" s="97" t="str">
        <f>+'Plan de Adquisiciones '!N63</f>
        <v>Mayo</v>
      </c>
      <c r="O41" s="97"/>
      <c r="P41" s="98">
        <f>+'Plan de Adquisiciones '!O63</f>
        <v>7</v>
      </c>
      <c r="Q41" s="97" t="str">
        <f>+'Plan de Adquisiciones '!P63</f>
        <v xml:space="preserve"> Contratación Directa</v>
      </c>
      <c r="R41" s="97" t="str">
        <f>+'Plan de Adquisiciones '!Q63</f>
        <v>Directa</v>
      </c>
      <c r="S41" s="107">
        <f>+'Plan de Adquisiciones '!R63</f>
        <v>17040000</v>
      </c>
      <c r="T41" s="107">
        <f>+'Plan de Adquisiciones '!S63</f>
        <v>0</v>
      </c>
      <c r="U41" s="107">
        <f>+'Plan de Adquisiciones '!T63</f>
        <v>17040000</v>
      </c>
      <c r="V41" s="98">
        <f>+'Plan de Adquisiciones '!U63</f>
        <v>1</v>
      </c>
      <c r="W41" s="107">
        <f>+'Plan de Adquisiciones '!V63</f>
        <v>17040000</v>
      </c>
      <c r="X41" s="107">
        <f>+'Plan de Adquisiciones '!W63</f>
        <v>0</v>
      </c>
      <c r="Y41" s="107">
        <f>+'Plan de Adquisiciones '!X63</f>
        <v>17040000</v>
      </c>
      <c r="Z41" s="106">
        <f>+'Plan de Adquisiciones '!Y63</f>
        <v>42860</v>
      </c>
      <c r="AA41" s="106" t="s">
        <v>56</v>
      </c>
      <c r="AB41" s="106"/>
      <c r="AC41" s="97">
        <f>+'Plan de Adquisiciones '!Z63</f>
        <v>72</v>
      </c>
      <c r="AD41" s="108" t="str">
        <f>+'Plan de Adquisiciones '!AA63</f>
        <v>TALLER DE EDICIÓN ROCCA S.A.</v>
      </c>
      <c r="AE41" s="99"/>
      <c r="AF41" s="102"/>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row>
    <row r="42" spans="1:101" ht="56.25" x14ac:dyDescent="0.25">
      <c r="A42" s="59" t="s">
        <v>163</v>
      </c>
      <c r="B42" s="75" t="s">
        <v>148</v>
      </c>
      <c r="C42" s="76" t="s">
        <v>131</v>
      </c>
      <c r="D42" s="59" t="s">
        <v>37</v>
      </c>
      <c r="E42" s="59" t="s">
        <v>42</v>
      </c>
      <c r="F42" s="97">
        <f>+'Plan de Adquisiciones '!F64</f>
        <v>0</v>
      </c>
      <c r="G42" s="98">
        <f>+'Plan de Adquisiciones '!G64</f>
        <v>183</v>
      </c>
      <c r="H42" s="97">
        <f>+'Plan de Adquisiciones '!H64</f>
        <v>0</v>
      </c>
      <c r="I42" s="97" t="str">
        <f>+'Plan de Adquisiciones '!I64</f>
        <v>Prestación de servicios para la impresión de publicaciones del Instituto para la Investigación Educativa y el Desarrollo Pedagógico, IDEP</v>
      </c>
      <c r="J42" s="97">
        <f>+'Plan de Adquisiciones '!J64</f>
        <v>82111801</v>
      </c>
      <c r="K42" s="97" t="str">
        <f>+'Plan de Adquisiciones '!K64</f>
        <v>Profesional 222-05</v>
      </c>
      <c r="L42" s="97" t="str">
        <f>+'Plan de Adquisiciones '!L64</f>
        <v>Diana Prada</v>
      </c>
      <c r="M42" s="97" t="s">
        <v>503</v>
      </c>
      <c r="N42" s="97" t="str">
        <f>+'Plan de Adquisiciones '!N64</f>
        <v>Mayo</v>
      </c>
      <c r="O42" s="97"/>
      <c r="P42" s="98">
        <f>+'Plan de Adquisiciones '!O64</f>
        <v>9</v>
      </c>
      <c r="Q42" s="97" t="str">
        <f>+'Plan de Adquisiciones '!P64</f>
        <v>Selección Abreviada -Subasta inversa</v>
      </c>
      <c r="R42" s="97" t="str">
        <f>+'Plan de Adquisiciones '!Q64</f>
        <v>Selección Abreviada -Subasta inversa</v>
      </c>
      <c r="S42" s="107">
        <f>+'Plan de Adquisiciones '!R64</f>
        <v>26155250</v>
      </c>
      <c r="T42" s="107">
        <f>+'Plan de Adquisiciones '!S64</f>
        <v>0</v>
      </c>
      <c r="U42" s="107">
        <f>+'Plan de Adquisiciones '!T64</f>
        <v>26155250</v>
      </c>
      <c r="V42" s="98">
        <f>+'Plan de Adquisiciones '!U64</f>
        <v>1</v>
      </c>
      <c r="W42" s="107">
        <f>+'Plan de Adquisiciones '!V64</f>
        <v>26155250</v>
      </c>
      <c r="X42" s="107">
        <f>+'Plan de Adquisiciones '!W64</f>
        <v>0</v>
      </c>
      <c r="Y42" s="107">
        <f>+'Plan de Adquisiciones '!X64</f>
        <v>26155250</v>
      </c>
      <c r="Z42" s="106">
        <f>+'Plan de Adquisiciones '!Y64</f>
        <v>42877</v>
      </c>
      <c r="AA42" s="106" t="s">
        <v>56</v>
      </c>
      <c r="AB42" s="106"/>
      <c r="AC42" s="97">
        <f>+'Plan de Adquisiciones '!Z64</f>
        <v>87</v>
      </c>
      <c r="AD42" s="108" t="str">
        <f>+'Plan de Adquisiciones '!AA64</f>
        <v>CI WARRIORS COMPANY S.A.S.</v>
      </c>
    </row>
    <row r="43" spans="1:101" ht="78.75" x14ac:dyDescent="0.25">
      <c r="A43" s="59" t="s">
        <v>163</v>
      </c>
      <c r="B43" s="75" t="s">
        <v>148</v>
      </c>
      <c r="C43" s="76" t="s">
        <v>131</v>
      </c>
      <c r="D43" s="59" t="s">
        <v>194</v>
      </c>
      <c r="E43" s="59" t="s">
        <v>31</v>
      </c>
      <c r="F43" s="97">
        <f>+'Plan de Adquisiciones '!F65</f>
        <v>0</v>
      </c>
      <c r="G43" s="98">
        <f>+'Plan de Adquisiciones '!G65</f>
        <v>327</v>
      </c>
      <c r="H43" s="97">
        <f>+'Plan de Adquisiciones '!H65</f>
        <v>0</v>
      </c>
      <c r="I43" s="97" t="str">
        <f>+'Plan de Adquisiciones '!I65</f>
        <v>Prestación de servicios para efectuar la suscripción para el uso de sevicios y licencias para el fortalecimiento de las actividades de comunicación, socialización y divulgación del IDEP</v>
      </c>
      <c r="J43" s="97">
        <f>+'Plan de Adquisiciones '!J65</f>
        <v>0</v>
      </c>
      <c r="K43" s="97" t="str">
        <f>+'Plan de Adquisiciones '!K65</f>
        <v>Subdirector Académico</v>
      </c>
      <c r="L43" s="141">
        <f>+'Plan de Adquisiciones '!L65</f>
        <v>0</v>
      </c>
      <c r="M43" s="97" t="s">
        <v>503</v>
      </c>
      <c r="N43" s="97" t="str">
        <f>+'Plan de Adquisiciones '!N65</f>
        <v>Noviembre</v>
      </c>
      <c r="O43" s="97" t="s">
        <v>480</v>
      </c>
      <c r="P43" s="98">
        <f>+'Plan de Adquisiciones '!O65</f>
        <v>2</v>
      </c>
      <c r="Q43" s="97" t="str">
        <f>+'Plan de Adquisiciones '!P65</f>
        <v>Contratación directa</v>
      </c>
      <c r="R43" s="97">
        <f>+'Plan de Adquisiciones '!Q65</f>
        <v>0</v>
      </c>
      <c r="S43" s="107">
        <f>+'Plan de Adquisiciones '!R65</f>
        <v>6844750</v>
      </c>
      <c r="T43" s="107">
        <f>+'Plan de Adquisiciones '!S65</f>
        <v>0</v>
      </c>
      <c r="U43" s="107">
        <f>+'Plan de Adquisiciones '!T65</f>
        <v>6844750</v>
      </c>
      <c r="V43" s="98">
        <f>+'Plan de Adquisiciones '!U65</f>
        <v>0</v>
      </c>
      <c r="W43" s="107">
        <f>+'Plan de Adquisiciones '!V65</f>
        <v>0</v>
      </c>
      <c r="X43" s="107">
        <f>+'Plan de Adquisiciones '!W65</f>
        <v>0</v>
      </c>
      <c r="Y43" s="107">
        <f>+'Plan de Adquisiciones '!X65</f>
        <v>0</v>
      </c>
      <c r="Z43" s="106"/>
      <c r="AA43" s="106"/>
      <c r="AB43" s="106"/>
      <c r="AC43" s="97">
        <f>+'Plan de Adquisiciones '!Z65</f>
        <v>0</v>
      </c>
      <c r="AD43" s="108">
        <f>+'Plan de Adquisiciones '!AA65</f>
        <v>0</v>
      </c>
    </row>
    <row r="44" spans="1:101" ht="67.5" x14ac:dyDescent="0.25">
      <c r="A44" s="59" t="s">
        <v>163</v>
      </c>
      <c r="B44" s="75" t="s">
        <v>148</v>
      </c>
      <c r="C44" s="76" t="s">
        <v>131</v>
      </c>
      <c r="D44" s="59" t="s">
        <v>194</v>
      </c>
      <c r="E44" s="59" t="s">
        <v>31</v>
      </c>
      <c r="F44" s="97" t="str">
        <f>+'Plan de Adquisiciones '!F67</f>
        <v>Socialización y 
Divulgación:Componente 1</v>
      </c>
      <c r="G44" s="98">
        <f>+'Plan de Adquisiciones '!G67</f>
        <v>140</v>
      </c>
      <c r="H44" s="97">
        <f>+'Plan de Adquisiciones '!H67</f>
        <v>0</v>
      </c>
      <c r="I44" s="97" t="str">
        <f>+'Plan de Adquisiciones '!I67</f>
        <v xml:space="preserve">Prestación de servicios profesionales para realizar el diseño y diagramación de piezas gráficas (impresas, audioviduales y digitales) del IDEP. </v>
      </c>
      <c r="J44" s="97">
        <f>+'Plan de Adquisiciones '!J67</f>
        <v>82141504</v>
      </c>
      <c r="K44" s="97" t="str">
        <f>+'Plan de Adquisiciones '!K67</f>
        <v>Subdirector Académico</v>
      </c>
      <c r="L44" s="97" t="str">
        <f>+'Plan de Adquisiciones '!L67</f>
        <v>Juliana Gutiérrez</v>
      </c>
      <c r="M44" s="97" t="s">
        <v>503</v>
      </c>
      <c r="N44" s="97" t="str">
        <f>+'Plan de Adquisiciones '!N67</f>
        <v>Febrero</v>
      </c>
      <c r="O44" s="97"/>
      <c r="P44" s="98">
        <f>+'Plan de Adquisiciones '!O67</f>
        <v>10</v>
      </c>
      <c r="Q44" s="97" t="str">
        <f>+'Plan de Adquisiciones '!P67</f>
        <v xml:space="preserve"> Contratación Directa</v>
      </c>
      <c r="R44" s="97" t="str">
        <f>+'Plan de Adquisiciones '!Q67</f>
        <v>Directa</v>
      </c>
      <c r="S44" s="107">
        <f>+'Plan de Adquisiciones '!R67</f>
        <v>13295908</v>
      </c>
      <c r="T44" s="107">
        <f>+'Plan de Adquisiciones '!S67</f>
        <v>0</v>
      </c>
      <c r="U44" s="107">
        <f>+'Plan de Adquisiciones '!T67</f>
        <v>13295908</v>
      </c>
      <c r="V44" s="98">
        <f>+'Plan de Adquisiciones '!U67</f>
        <v>1</v>
      </c>
      <c r="W44" s="107">
        <f>+'Plan de Adquisiciones '!V67</f>
        <v>13295908</v>
      </c>
      <c r="X44" s="107">
        <f>+'Plan de Adquisiciones '!W67</f>
        <v>0</v>
      </c>
      <c r="Y44" s="107">
        <f>+'Plan de Adquisiciones '!X67</f>
        <v>13295908</v>
      </c>
      <c r="Z44" s="106">
        <f>+'Plan de Adquisiciones '!Y67</f>
        <v>42794</v>
      </c>
      <c r="AA44" s="106" t="s">
        <v>51</v>
      </c>
      <c r="AB44" s="106"/>
      <c r="AC44" s="97">
        <f>+'Plan de Adquisiciones '!Z67</f>
        <v>13</v>
      </c>
      <c r="AD44" s="108" t="str">
        <f>+'Plan de Adquisiciones '!AA67</f>
        <v>GUSTAVO MARTINEZ</v>
      </c>
    </row>
    <row r="45" spans="1:101" ht="56.25" x14ac:dyDescent="0.25">
      <c r="A45" s="59" t="s">
        <v>163</v>
      </c>
      <c r="B45" s="75" t="s">
        <v>148</v>
      </c>
      <c r="C45" s="76" t="s">
        <v>131</v>
      </c>
      <c r="D45" s="59" t="s">
        <v>194</v>
      </c>
      <c r="E45" s="59" t="s">
        <v>31</v>
      </c>
      <c r="F45" s="97">
        <f>+'Plan de Adquisiciones '!F68</f>
        <v>0</v>
      </c>
      <c r="G45" s="98">
        <f>+'Plan de Adquisiciones '!G68</f>
        <v>71</v>
      </c>
      <c r="H45" s="97">
        <f>+'Plan de Adquisiciones '!H68</f>
        <v>0</v>
      </c>
      <c r="I45" s="97" t="str">
        <f>+'Plan de Adquisiciones '!I68</f>
        <v>Prestación de servicios profesionales para apoyar la socialización académica e institucional y el seguimiento de la misma.</v>
      </c>
      <c r="J45" s="97">
        <f>+'Plan de Adquisiciones '!J68</f>
        <v>80111621</v>
      </c>
      <c r="K45" s="97" t="str">
        <f>+'Plan de Adquisiciones '!K68</f>
        <v>Asesor 105-03</v>
      </c>
      <c r="L45" s="97" t="str">
        <f>+'Plan de Adquisiciones '!L68</f>
        <v>Martha Cuevas</v>
      </c>
      <c r="M45" s="97" t="s">
        <v>503</v>
      </c>
      <c r="N45" s="97" t="str">
        <f>+'Plan de Adquisiciones '!N68</f>
        <v>Marzo</v>
      </c>
      <c r="O45" s="97"/>
      <c r="P45" s="98">
        <f>+'Plan de Adquisiciones '!O68</f>
        <v>10</v>
      </c>
      <c r="Q45" s="97" t="str">
        <f>+'Plan de Adquisiciones '!P68</f>
        <v xml:space="preserve"> Contratación Directa</v>
      </c>
      <c r="R45" s="97" t="str">
        <f>+'Plan de Adquisiciones '!Q68</f>
        <v>Directa</v>
      </c>
      <c r="S45" s="107">
        <f>+'Plan de Adquisiciones '!R68</f>
        <v>22717000</v>
      </c>
      <c r="T45" s="107">
        <f>+'Plan de Adquisiciones '!S68</f>
        <v>0</v>
      </c>
      <c r="U45" s="107">
        <f>+'Plan de Adquisiciones '!T68</f>
        <v>22717000</v>
      </c>
      <c r="V45" s="98">
        <f>+'Plan de Adquisiciones '!U68</f>
        <v>1</v>
      </c>
      <c r="W45" s="107">
        <f>+'Plan de Adquisiciones '!V68</f>
        <v>22717000</v>
      </c>
      <c r="X45" s="107">
        <f>+'Plan de Adquisiciones '!W68</f>
        <v>0</v>
      </c>
      <c r="Y45" s="107">
        <f>+'Plan de Adquisiciones '!X68</f>
        <v>22717000</v>
      </c>
      <c r="Z45" s="106">
        <f>+'Plan de Adquisiciones '!Y68</f>
        <v>42797</v>
      </c>
      <c r="AA45" s="106" t="s">
        <v>87</v>
      </c>
      <c r="AB45" s="106"/>
      <c r="AC45" s="97">
        <f>+'Plan de Adquisiciones '!Z68</f>
        <v>21</v>
      </c>
      <c r="AD45" s="108" t="str">
        <f>+'Plan de Adquisiciones '!AA68</f>
        <v>NOHORA ROSO GUEVARA</v>
      </c>
    </row>
    <row r="46" spans="1:101" ht="90" x14ac:dyDescent="0.25">
      <c r="A46" s="59" t="s">
        <v>163</v>
      </c>
      <c r="B46" s="75" t="s">
        <v>148</v>
      </c>
      <c r="C46" s="76" t="s">
        <v>131</v>
      </c>
      <c r="D46" s="59" t="s">
        <v>194</v>
      </c>
      <c r="E46" s="59" t="s">
        <v>31</v>
      </c>
      <c r="F46" s="97">
        <f>+'Plan de Adquisiciones '!F69</f>
        <v>0</v>
      </c>
      <c r="G46" s="98">
        <f>+'Plan de Adquisiciones '!G69</f>
        <v>184</v>
      </c>
      <c r="H46" s="97">
        <f>+'Plan de Adquisiciones '!H69</f>
        <v>0</v>
      </c>
      <c r="I46" s="97" t="str">
        <f>+'Plan de Adquisiciones '!I69</f>
        <v xml:space="preserve">Adición al contrato No. 68 de 2016 " Prestación de servicios profesionales para el diseño de una estrategia de educomunicación institucional con el uso y desarrollo de  las  Tecnologías de la Información y la Comunicación, TIC". </v>
      </c>
      <c r="J46" s="97">
        <f>+'Plan de Adquisiciones '!J69</f>
        <v>80111621</v>
      </c>
      <c r="K46" s="97" t="str">
        <f>+'Plan de Adquisiciones '!K69</f>
        <v>Asesor 105-03</v>
      </c>
      <c r="L46" s="97" t="str">
        <f>+'Plan de Adquisiciones '!L69</f>
        <v>Martha Cuevas</v>
      </c>
      <c r="M46" s="97" t="s">
        <v>503</v>
      </c>
      <c r="N46" s="97" t="str">
        <f>+'Plan de Adquisiciones '!N69</f>
        <v>Marzo</v>
      </c>
      <c r="O46" s="97"/>
      <c r="P46" s="98">
        <f>+'Plan de Adquisiciones '!O69</f>
        <v>10</v>
      </c>
      <c r="Q46" s="97" t="str">
        <f>+'Plan de Adquisiciones '!P69</f>
        <v xml:space="preserve"> Contratación Directa</v>
      </c>
      <c r="R46" s="97" t="str">
        <f>+'Plan de Adquisiciones '!Q69</f>
        <v>Directa</v>
      </c>
      <c r="S46" s="107">
        <f>+'Plan de Adquisiciones '!R69</f>
        <v>2439700</v>
      </c>
      <c r="T46" s="107">
        <f>+'Plan de Adquisiciones '!S69</f>
        <v>0</v>
      </c>
      <c r="U46" s="107">
        <f>+'Plan de Adquisiciones '!T69</f>
        <v>2439700</v>
      </c>
      <c r="V46" s="98">
        <f>+'Plan de Adquisiciones '!U69</f>
        <v>1</v>
      </c>
      <c r="W46" s="107">
        <f>+'Plan de Adquisiciones '!V69</f>
        <v>2439700</v>
      </c>
      <c r="X46" s="107">
        <f>+'Plan de Adquisiciones '!W69</f>
        <v>0</v>
      </c>
      <c r="Y46" s="107">
        <f>+'Plan de Adquisiciones '!X69</f>
        <v>2439700</v>
      </c>
      <c r="Z46" s="106">
        <f>+'Plan de Adquisiciones '!Y69</f>
        <v>42804</v>
      </c>
      <c r="AA46" s="106" t="s">
        <v>87</v>
      </c>
      <c r="AB46" s="106"/>
      <c r="AC46" s="97">
        <f>+'Plan de Adquisiciones '!Z69</f>
        <v>68</v>
      </c>
      <c r="AD46" s="108" t="str">
        <f>+'Plan de Adquisiciones '!AA69</f>
        <v>LUISA TRUJILLO MARTINEZ</v>
      </c>
    </row>
    <row r="47" spans="1:101" ht="123.75" x14ac:dyDescent="0.25">
      <c r="A47" s="59" t="s">
        <v>371</v>
      </c>
      <c r="B47" s="75" t="s">
        <v>148</v>
      </c>
      <c r="C47" s="76" t="s">
        <v>131</v>
      </c>
      <c r="D47" s="59" t="s">
        <v>194</v>
      </c>
      <c r="E47" s="59" t="s">
        <v>31</v>
      </c>
      <c r="F47" s="97">
        <f>+'Plan de Adquisiciones '!F70</f>
        <v>0</v>
      </c>
      <c r="G47" s="98">
        <f>+'Plan de Adquisiciones '!G70</f>
        <v>204</v>
      </c>
      <c r="H47" s="97">
        <f>+'Plan de Adquisiciones '!H70</f>
        <v>0</v>
      </c>
      <c r="I47" s="97" t="str">
        <f>+'Plan de Adquisiciones '!I70</f>
        <v xml:space="preserve">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v>
      </c>
      <c r="J47" s="97">
        <f>+'Plan de Adquisiciones '!J70</f>
        <v>80111601</v>
      </c>
      <c r="K47" s="97" t="str">
        <f>+'Plan de Adquisiciones '!K70</f>
        <v>Subdirector Académico</v>
      </c>
      <c r="L47" s="97" t="str">
        <f>+'Plan de Adquisiciones '!L70</f>
        <v>Juliana Gutiérrez</v>
      </c>
      <c r="M47" s="97" t="s">
        <v>503</v>
      </c>
      <c r="N47" s="97" t="str">
        <f>+'Plan de Adquisiciones '!N60</f>
        <v>Marzo</v>
      </c>
      <c r="O47" s="97"/>
      <c r="P47" s="98">
        <f>+'Plan de Adquisiciones '!O70</f>
        <v>8</v>
      </c>
      <c r="Q47" s="97" t="str">
        <f>+'Plan de Adquisiciones '!P70</f>
        <v xml:space="preserve"> Contratación Directa</v>
      </c>
      <c r="R47" s="97" t="str">
        <f>+'Plan de Adquisiciones '!Q70</f>
        <v>Directa</v>
      </c>
      <c r="S47" s="107">
        <f>+'Plan de Adquisiciones '!R70</f>
        <v>76886771</v>
      </c>
      <c r="T47" s="107">
        <f>+'Plan de Adquisiciones '!S70</f>
        <v>0</v>
      </c>
      <c r="U47" s="107">
        <f>+'Plan de Adquisiciones '!T70</f>
        <v>76886771</v>
      </c>
      <c r="V47" s="98">
        <f>+'Plan de Adquisiciones '!U70</f>
        <v>1</v>
      </c>
      <c r="W47" s="107">
        <f>+'Plan de Adquisiciones '!V70</f>
        <v>76886771</v>
      </c>
      <c r="X47" s="107">
        <f>+'Plan de Adquisiciones '!W70</f>
        <v>0</v>
      </c>
      <c r="Y47" s="107">
        <f>+'Plan de Adquisiciones '!X70</f>
        <v>76886771</v>
      </c>
      <c r="Z47" s="106">
        <f>+'Plan de Adquisiciones '!Y70</f>
        <v>42843</v>
      </c>
      <c r="AA47" s="106" t="s">
        <v>63</v>
      </c>
      <c r="AB47" s="106"/>
      <c r="AC47" s="97">
        <f>+'Plan de Adquisiciones '!Z70</f>
        <v>45</v>
      </c>
      <c r="AD47" s="108" t="str">
        <f>+'Plan de Adquisiciones '!AA70</f>
        <v>CAJA DE COMPENSACIÓN FAMILIAR COMPENSAR</v>
      </c>
    </row>
    <row r="48" spans="1:101" ht="56.25" x14ac:dyDescent="0.25">
      <c r="A48" s="59" t="s">
        <v>373</v>
      </c>
      <c r="B48" s="75" t="s">
        <v>148</v>
      </c>
      <c r="C48" s="76" t="s">
        <v>131</v>
      </c>
      <c r="D48" s="59" t="s">
        <v>194</v>
      </c>
      <c r="E48" s="59" t="s">
        <v>31</v>
      </c>
      <c r="F48" s="97">
        <f>+'Plan de Adquisiciones '!F71</f>
        <v>0</v>
      </c>
      <c r="G48" s="98">
        <f>+'Plan de Adquisiciones '!G71</f>
        <v>270</v>
      </c>
      <c r="H48" s="97">
        <f>+'Plan de Adquisiciones '!H71</f>
        <v>0</v>
      </c>
      <c r="I48" s="97" t="str">
        <f>+'Plan de Adquisiciones '!I71</f>
        <v>Membrecia anual (2017) al Consejo Latinoamericano de Ciencias Sociales- CLACSO</v>
      </c>
      <c r="J48" s="97">
        <f>+'Plan de Adquisiciones '!J71</f>
        <v>80111601</v>
      </c>
      <c r="K48" s="97" t="str">
        <f>+'Plan de Adquisiciones '!K71</f>
        <v>Subdirector Académico</v>
      </c>
      <c r="L48" s="97" t="str">
        <f>+'Plan de Adquisiciones '!L71</f>
        <v>Juliana Gutiérrez</v>
      </c>
      <c r="M48" s="97" t="s">
        <v>503</v>
      </c>
      <c r="N48" s="97" t="str">
        <f>+'Plan de Adquisiciones '!N71</f>
        <v>Mayo</v>
      </c>
      <c r="O48" s="97"/>
      <c r="P48" s="98">
        <f>+'Plan de Adquisiciones '!O71</f>
        <v>1</v>
      </c>
      <c r="Q48" s="97" t="str">
        <f>+'Plan de Adquisiciones '!P71</f>
        <v xml:space="preserve"> Contratación Directa</v>
      </c>
      <c r="R48" s="97" t="str">
        <f>+'Plan de Adquisiciones '!Q71</f>
        <v>Directa</v>
      </c>
      <c r="S48" s="107">
        <f>+'Plan de Adquisiciones '!R71</f>
        <v>2932160</v>
      </c>
      <c r="T48" s="107">
        <f>+'Plan de Adquisiciones '!S71</f>
        <v>0</v>
      </c>
      <c r="U48" s="107">
        <f>+'Plan de Adquisiciones '!T71</f>
        <v>2932160</v>
      </c>
      <c r="V48" s="98">
        <f>+'Plan de Adquisiciones '!U71</f>
        <v>0</v>
      </c>
      <c r="W48" s="107">
        <f>+'Plan de Adquisiciones '!V71</f>
        <v>2932160</v>
      </c>
      <c r="X48" s="107">
        <f>+'Plan de Adquisiciones '!W71</f>
        <v>0</v>
      </c>
      <c r="Y48" s="107">
        <f>+'Plan de Adquisiciones '!X71</f>
        <v>2932160</v>
      </c>
      <c r="Z48" s="106">
        <f>+'Plan de Adquisiciones '!Y71</f>
        <v>42874</v>
      </c>
      <c r="AA48" s="106" t="s">
        <v>56</v>
      </c>
      <c r="AB48" s="106"/>
      <c r="AC48" s="97">
        <f>+'Plan de Adquisiciones '!Z71</f>
        <v>4</v>
      </c>
      <c r="AD48" s="108" t="str">
        <f>+'Plan de Adquisiciones '!AA71</f>
        <v>CLACSO</v>
      </c>
    </row>
    <row r="49" spans="1:30" ht="78.75" x14ac:dyDescent="0.25">
      <c r="A49" s="59" t="s">
        <v>374</v>
      </c>
      <c r="B49" s="75" t="s">
        <v>148</v>
      </c>
      <c r="C49" s="76" t="s">
        <v>131</v>
      </c>
      <c r="D49" s="59" t="s">
        <v>194</v>
      </c>
      <c r="E49" s="59" t="s">
        <v>31</v>
      </c>
      <c r="F49" s="97">
        <f>+'Plan de Adquisiciones '!F72</f>
        <v>0</v>
      </c>
      <c r="G49" s="98">
        <f>+'Plan de Adquisiciones '!G72</f>
        <v>327</v>
      </c>
      <c r="H49" s="97">
        <f>+'Plan de Adquisiciones '!H72</f>
        <v>0</v>
      </c>
      <c r="I49" s="97" t="str">
        <f>+'Plan de Adquisiciones '!I72</f>
        <v>Prestación de servicios para efectuar la suscripción para el uso de sevicios y licencias para el fortalecimiento de las actividades de comunicación, socialización y divulgación del IDEP</v>
      </c>
      <c r="J49" s="97">
        <f>+'Plan de Adquisiciones '!J72</f>
        <v>0</v>
      </c>
      <c r="K49" s="97" t="str">
        <f>+'Plan de Adquisiciones '!K72</f>
        <v>Subdirector Académico</v>
      </c>
      <c r="L49" s="141">
        <f>+'Plan de Adquisiciones '!L72</f>
        <v>0</v>
      </c>
      <c r="M49" s="97" t="s">
        <v>503</v>
      </c>
      <c r="N49" s="97" t="str">
        <f>+'Plan de Adquisiciones '!N72</f>
        <v>Noviembre</v>
      </c>
      <c r="O49" s="97" t="s">
        <v>480</v>
      </c>
      <c r="P49" s="98">
        <f>+'Plan de Adquisiciones '!O72</f>
        <v>2</v>
      </c>
      <c r="Q49" s="97" t="str">
        <f>+'Plan de Adquisiciones '!P72</f>
        <v>Contratación directa</v>
      </c>
      <c r="R49" s="97">
        <f>+'Plan de Adquisiciones '!Q72</f>
        <v>0</v>
      </c>
      <c r="S49" s="107">
        <f>+'Plan de Adquisiciones '!R72</f>
        <v>787290</v>
      </c>
      <c r="T49" s="107">
        <f>+'Plan de Adquisiciones '!S72</f>
        <v>0</v>
      </c>
      <c r="U49" s="107">
        <f>+'Plan de Adquisiciones '!T72</f>
        <v>787290</v>
      </c>
      <c r="V49" s="98">
        <f>+'Plan de Adquisiciones '!U72</f>
        <v>0</v>
      </c>
      <c r="W49" s="107">
        <f>+'Plan de Adquisiciones '!V72</f>
        <v>0</v>
      </c>
      <c r="X49" s="107">
        <f>+'Plan de Adquisiciones '!W72</f>
        <v>0</v>
      </c>
      <c r="Y49" s="107">
        <f>+'Plan de Adquisiciones '!X72</f>
        <v>0</v>
      </c>
      <c r="Z49" s="106"/>
      <c r="AA49" s="106"/>
      <c r="AB49" s="106"/>
      <c r="AC49" s="97">
        <f>+'Plan de Adquisiciones '!Z72</f>
        <v>0</v>
      </c>
      <c r="AD49" s="108">
        <f>+'Plan de Adquisiciones '!AA72</f>
        <v>0</v>
      </c>
    </row>
    <row r="50" spans="1:30" ht="56.25" x14ac:dyDescent="0.25">
      <c r="A50" s="59" t="s">
        <v>375</v>
      </c>
      <c r="B50" s="75" t="s">
        <v>148</v>
      </c>
      <c r="C50" s="76" t="s">
        <v>131</v>
      </c>
      <c r="D50" s="59" t="s">
        <v>194</v>
      </c>
      <c r="E50" s="59" t="s">
        <v>31</v>
      </c>
      <c r="F50" s="97">
        <f>+'Plan de Adquisiciones '!F73</f>
        <v>0</v>
      </c>
      <c r="G50" s="98">
        <f>+'Plan de Adquisiciones '!G73</f>
        <v>172</v>
      </c>
      <c r="H50" s="97">
        <f>+'Plan de Adquisiciones '!H73</f>
        <v>0</v>
      </c>
      <c r="I50" s="97" t="str">
        <f>+'Plan de Adquisiciones '!I73</f>
        <v>Prestación de servicios profesionales para dar soporte a página web del IDEP y a la infraestructura tecnológica del instituto</v>
      </c>
      <c r="J50" s="97">
        <f>+'Plan de Adquisiciones '!J73</f>
        <v>81112103</v>
      </c>
      <c r="K50" s="97" t="str">
        <f>+'Plan de Adquisiciones '!K73</f>
        <v>Subdirector Académico</v>
      </c>
      <c r="L50" s="97" t="str">
        <f>+'Plan de Adquisiciones '!L73</f>
        <v>Juliana Gutiérrez</v>
      </c>
      <c r="M50" s="97" t="s">
        <v>503</v>
      </c>
      <c r="N50" s="97" t="str">
        <f>+'Plan de Adquisiciones '!N73</f>
        <v>Marzo</v>
      </c>
      <c r="O50" s="97"/>
      <c r="P50" s="98">
        <f>+'Plan de Adquisiciones '!O73</f>
        <v>10</v>
      </c>
      <c r="Q50" s="97" t="str">
        <f>+'Plan de Adquisiciones '!P73</f>
        <v xml:space="preserve"> Contratación Directa</v>
      </c>
      <c r="R50" s="97" t="str">
        <f>+'Plan de Adquisiciones '!Q73</f>
        <v>Directa</v>
      </c>
      <c r="S50" s="107">
        <f>+'Plan de Adquisiciones '!R73</f>
        <v>30605075</v>
      </c>
      <c r="T50" s="107">
        <f>+'Plan de Adquisiciones '!S73</f>
        <v>0</v>
      </c>
      <c r="U50" s="107">
        <f>+'Plan de Adquisiciones '!T73</f>
        <v>30605075</v>
      </c>
      <c r="V50" s="98">
        <f>+'Plan de Adquisiciones '!U73</f>
        <v>1</v>
      </c>
      <c r="W50" s="107">
        <f>+'Plan de Adquisiciones '!V73</f>
        <v>30605075</v>
      </c>
      <c r="X50" s="107">
        <f>+'Plan de Adquisiciones '!W73</f>
        <v>0</v>
      </c>
      <c r="Y50" s="107">
        <f>+'Plan de Adquisiciones '!X73</f>
        <v>30605075</v>
      </c>
      <c r="Z50" s="106">
        <f>+'Plan de Adquisiciones '!Y73</f>
        <v>42801</v>
      </c>
      <c r="AA50" s="106" t="s">
        <v>87</v>
      </c>
      <c r="AB50" s="106"/>
      <c r="AC50" s="97">
        <f>+'Plan de Adquisiciones '!Z73</f>
        <v>27</v>
      </c>
      <c r="AD50" s="108" t="str">
        <f>+'Plan de Adquisiciones '!AA73</f>
        <v>OSCAR LOZANO MANRIQUE</v>
      </c>
    </row>
    <row r="51" spans="1:30" ht="67.5" x14ac:dyDescent="0.25">
      <c r="A51" s="59" t="s">
        <v>376</v>
      </c>
      <c r="B51" s="75" t="s">
        <v>148</v>
      </c>
      <c r="C51" s="76" t="s">
        <v>131</v>
      </c>
      <c r="D51" s="59" t="s">
        <v>194</v>
      </c>
      <c r="E51" s="59" t="s">
        <v>31</v>
      </c>
      <c r="F51" s="97">
        <f>+'Plan de Adquisiciones '!F74</f>
        <v>0</v>
      </c>
      <c r="G51" s="98">
        <f>+'Plan de Adquisiciones '!G74</f>
        <v>171</v>
      </c>
      <c r="H51" s="97">
        <f>+'Plan de Adquisiciones '!H74</f>
        <v>0</v>
      </c>
      <c r="I51" s="97" t="str">
        <f>+'Plan de Adquisiciones '!I74</f>
        <v>Prestación de servicios profesionales para la construcción de contenidos y efectuar las actividades de actualización de la página web del IDEP</v>
      </c>
      <c r="J51" s="97">
        <f>+'Plan de Adquisiciones '!J74</f>
        <v>83121702</v>
      </c>
      <c r="K51" s="97" t="str">
        <f>+'Plan de Adquisiciones '!K74</f>
        <v>Profesional 222-05</v>
      </c>
      <c r="L51" s="97" t="str">
        <f>+'Plan de Adquisiciones '!L74</f>
        <v>Juliana Gutiérrez</v>
      </c>
      <c r="M51" s="97" t="s">
        <v>503</v>
      </c>
      <c r="N51" s="97" t="str">
        <f>+'Plan de Adquisiciones '!N74</f>
        <v>Marzo</v>
      </c>
      <c r="O51" s="97"/>
      <c r="P51" s="98">
        <f>+'Plan de Adquisiciones '!O74</f>
        <v>2</v>
      </c>
      <c r="Q51" s="97" t="str">
        <f>+'Plan de Adquisiciones '!P74</f>
        <v xml:space="preserve"> Contratación Directa</v>
      </c>
      <c r="R51" s="97" t="str">
        <f>+'Plan de Adquisiciones '!Q74</f>
        <v>Directa</v>
      </c>
      <c r="S51" s="107">
        <f>+'Plan de Adquisiciones '!R74</f>
        <v>8825010</v>
      </c>
      <c r="T51" s="107">
        <f>+'Plan de Adquisiciones '!S74</f>
        <v>0</v>
      </c>
      <c r="U51" s="107">
        <f>+'Plan de Adquisiciones '!T74</f>
        <v>8825010</v>
      </c>
      <c r="V51" s="98">
        <f>+'Plan de Adquisiciones '!U74</f>
        <v>1</v>
      </c>
      <c r="W51" s="107">
        <f>+'Plan de Adquisiciones '!V74</f>
        <v>8825010</v>
      </c>
      <c r="X51" s="107">
        <f>+'Plan de Adquisiciones '!W74</f>
        <v>0</v>
      </c>
      <c r="Y51" s="107">
        <f>+'Plan de Adquisiciones '!X74</f>
        <v>8825010</v>
      </c>
      <c r="Z51" s="106">
        <f>+'Plan de Adquisiciones '!Y74</f>
        <v>42794</v>
      </c>
      <c r="AA51" s="106" t="s">
        <v>51</v>
      </c>
      <c r="AB51" s="106"/>
      <c r="AC51" s="97">
        <f>+'Plan de Adquisiciones '!Z74</f>
        <v>17</v>
      </c>
      <c r="AD51" s="108" t="str">
        <f>+'Plan de Adquisiciones '!AA74</f>
        <v>RICHAR ROMO GUACAS</v>
      </c>
    </row>
    <row r="52" spans="1:30" ht="157.5" x14ac:dyDescent="0.25">
      <c r="A52" s="59" t="s">
        <v>377</v>
      </c>
      <c r="B52" s="75" t="s">
        <v>148</v>
      </c>
      <c r="C52" s="76" t="s">
        <v>131</v>
      </c>
      <c r="D52" s="59" t="s">
        <v>194</v>
      </c>
      <c r="E52" s="59" t="s">
        <v>31</v>
      </c>
      <c r="F52" s="97">
        <f>+'Plan de Adquisiciones '!F75</f>
        <v>0</v>
      </c>
      <c r="G52" s="98">
        <f>+'Plan de Adquisiciones '!G75</f>
        <v>174</v>
      </c>
      <c r="H52" s="97">
        <f>+'Plan de Adquisiciones '!H75</f>
        <v>0</v>
      </c>
      <c r="I52" s="97" t="str">
        <f>+'Plan de Adquisiciones '!I75</f>
        <v>Prestar servicios para difundir en televisión nacional abierta por medio de la serie “francisco el matemático”, las estrategias y campañas del distrito capital para la promoción de valores cívicos, competencias ciudadanas y autocuidado, que contribuyen al mejoramiento de la calidad de vida de la comunidad educativa del distrito y la ciudadanía en general, en el marco del plan de desarrollo “bogotá mejor para todos”</v>
      </c>
      <c r="J52" s="97">
        <f>+'Plan de Adquisiciones '!J75</f>
        <v>80111621</v>
      </c>
      <c r="K52" s="97" t="str">
        <f>+'Plan de Adquisiciones '!K75</f>
        <v>Subdirector Académico</v>
      </c>
      <c r="L52" s="97" t="str">
        <f>+'Plan de Adquisiciones '!L75</f>
        <v>Juliana Gutiérrez</v>
      </c>
      <c r="M52" s="97" t="s">
        <v>503</v>
      </c>
      <c r="N52" s="97" t="str">
        <f>+'Plan de Adquisiciones '!N75</f>
        <v>Febrero</v>
      </c>
      <c r="O52" s="97"/>
      <c r="P52" s="98">
        <f>+'Plan de Adquisiciones '!O75</f>
        <v>10</v>
      </c>
      <c r="Q52" s="97" t="str">
        <f>+'Plan de Adquisiciones '!P75</f>
        <v xml:space="preserve"> Contratación Directa</v>
      </c>
      <c r="R52" s="97" t="str">
        <f>+'Plan de Adquisiciones '!Q75</f>
        <v>Directa</v>
      </c>
      <c r="S52" s="107">
        <f>+'Plan de Adquisiciones '!R75</f>
        <v>132905523</v>
      </c>
      <c r="T52" s="107">
        <f>+'Plan de Adquisiciones '!S75</f>
        <v>0</v>
      </c>
      <c r="U52" s="107">
        <f>+'Plan de Adquisiciones '!T75</f>
        <v>132905523</v>
      </c>
      <c r="V52" s="98">
        <f>+'Plan de Adquisiciones '!U75</f>
        <v>1</v>
      </c>
      <c r="W52" s="107">
        <f>+'Plan de Adquisiciones '!V75</f>
        <v>132905523</v>
      </c>
      <c r="X52" s="107">
        <f>+'Plan de Adquisiciones '!W75</f>
        <v>0</v>
      </c>
      <c r="Y52" s="107">
        <f>+'Plan de Adquisiciones '!X75</f>
        <v>132905523</v>
      </c>
      <c r="Z52" s="106">
        <f>+'Plan de Adquisiciones '!Y75</f>
        <v>42804</v>
      </c>
      <c r="AA52" s="106" t="s">
        <v>87</v>
      </c>
      <c r="AB52" s="106"/>
      <c r="AC52" s="97">
        <f>+'Plan de Adquisiciones '!Z75</f>
        <v>33</v>
      </c>
      <c r="AD52" s="108" t="str">
        <f>+'Plan de Adquisiciones '!AA75</f>
        <v>RCN TELEVISIÓN</v>
      </c>
    </row>
    <row r="53" spans="1:30" ht="123.75" x14ac:dyDescent="0.25">
      <c r="A53" s="59" t="s">
        <v>380</v>
      </c>
      <c r="B53" s="75" t="s">
        <v>148</v>
      </c>
      <c r="C53" s="76" t="s">
        <v>131</v>
      </c>
      <c r="D53" s="59" t="s">
        <v>194</v>
      </c>
      <c r="E53" s="59" t="s">
        <v>31</v>
      </c>
      <c r="F53" s="97" t="str">
        <f>+'Plan de Adquisiciones '!F77</f>
        <v>Prensa: Componente 1</v>
      </c>
      <c r="G53" s="98">
        <f>+'Plan de Adquisiciones '!G77</f>
        <v>204</v>
      </c>
      <c r="H53" s="97">
        <f>+'Plan de Adquisiciones '!H77</f>
        <v>0</v>
      </c>
      <c r="I53" s="97" t="str">
        <f>+'Plan de Adquisiciones '!I77</f>
        <v xml:space="preserve">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v>
      </c>
      <c r="J53" s="97">
        <f>+'Plan de Adquisiciones '!J77</f>
        <v>82111902</v>
      </c>
      <c r="K53" s="97" t="str">
        <f>+'Plan de Adquisiciones '!K77</f>
        <v>Subdirector Académico</v>
      </c>
      <c r="L53" s="97" t="str">
        <f>+'Plan de Adquisiciones '!L77</f>
        <v>Juliana Gutiérrez</v>
      </c>
      <c r="M53" s="97" t="s">
        <v>503</v>
      </c>
      <c r="N53" s="97" t="str">
        <f>+'Plan de Adquisiciones '!N68</f>
        <v>Marzo</v>
      </c>
      <c r="O53" s="97"/>
      <c r="P53" s="98">
        <f>+'Plan de Adquisiciones '!O77</f>
        <v>8</v>
      </c>
      <c r="Q53" s="97" t="str">
        <f>+'Plan de Adquisiciones '!P77</f>
        <v xml:space="preserve"> Contratación Directa</v>
      </c>
      <c r="R53" s="97" t="str">
        <f>+'Plan de Adquisiciones '!Q77</f>
        <v>Directa</v>
      </c>
      <c r="S53" s="107">
        <f>+'Plan de Adquisiciones '!R77</f>
        <v>1645582</v>
      </c>
      <c r="T53" s="107">
        <f>+'Plan de Adquisiciones '!S77</f>
        <v>0</v>
      </c>
      <c r="U53" s="107">
        <f>+'Plan de Adquisiciones '!T77</f>
        <v>1645582</v>
      </c>
      <c r="V53" s="98">
        <f>+'Plan de Adquisiciones '!U77</f>
        <v>1</v>
      </c>
      <c r="W53" s="107">
        <f>+'Plan de Adquisiciones '!V77</f>
        <v>1645582</v>
      </c>
      <c r="X53" s="107">
        <f>+'Plan de Adquisiciones '!W77</f>
        <v>0</v>
      </c>
      <c r="Y53" s="107">
        <f>+'Plan de Adquisiciones '!X77</f>
        <v>1645582</v>
      </c>
      <c r="Z53" s="106">
        <f>+'Plan de Adquisiciones '!Y77</f>
        <v>42843</v>
      </c>
      <c r="AA53" s="106" t="s">
        <v>63</v>
      </c>
      <c r="AB53" s="106"/>
      <c r="AC53" s="97">
        <f>+'Plan de Adquisiciones '!Z77</f>
        <v>45</v>
      </c>
      <c r="AD53" s="108" t="str">
        <f>+'Plan de Adquisiciones '!AA77</f>
        <v>CAJA DE COMPENSACIÓN FAMILIAR COMPENSAR</v>
      </c>
    </row>
    <row r="54" spans="1:30" ht="101.25" x14ac:dyDescent="0.25">
      <c r="A54" s="59" t="s">
        <v>384</v>
      </c>
      <c r="B54" s="75" t="s">
        <v>148</v>
      </c>
      <c r="C54" s="76" t="s">
        <v>131</v>
      </c>
      <c r="D54" s="59" t="s">
        <v>366</v>
      </c>
      <c r="E54" s="59" t="s">
        <v>365</v>
      </c>
      <c r="F54" s="97" t="str">
        <f>+'Plan de Adquisiciones '!F81</f>
        <v>Diseño de la Estrategia de cualificación, investigación e innovación docente: comunidades de saber y de práctica pedagógica - Fase 2</v>
      </c>
      <c r="G54" s="98">
        <f>+'Plan de Adquisiciones '!G81</f>
        <v>78</v>
      </c>
      <c r="H54" s="97">
        <f>+'Plan de Adquisiciones '!H81</f>
        <v>0</v>
      </c>
      <c r="I54" s="97" t="str">
        <f>+'Plan de Adquisiciones '!I81</f>
        <v>Prestación de servicios profesionales para realizar la conceptualización, caracterización y diseño metodológico del componente Cualificación, investigación e innovación docente: comunidades de saber y de práctica pedagógica</v>
      </c>
      <c r="J54" s="97">
        <f>+'Plan de Adquisiciones '!J81</f>
        <v>80111621</v>
      </c>
      <c r="K54" s="97" t="str">
        <f>+'Plan de Adquisiciones '!K81</f>
        <v xml:space="preserve">Asesor 105-02 </v>
      </c>
      <c r="L54" s="97" t="str">
        <f>+'Plan de Adquisiciones '!L81</f>
        <v>Edwin Ferley Ortíz</v>
      </c>
      <c r="M54" s="97" t="s">
        <v>503</v>
      </c>
      <c r="N54" s="97" t="str">
        <f>+'Plan de Adquisiciones '!N81</f>
        <v>Marzo</v>
      </c>
      <c r="O54" s="97"/>
      <c r="P54" s="98">
        <f>+'Plan de Adquisiciones '!O81</f>
        <v>6</v>
      </c>
      <c r="Q54" s="97" t="str">
        <f>+'Plan de Adquisiciones '!P81</f>
        <v xml:space="preserve"> Contratación Directa</v>
      </c>
      <c r="R54" s="97" t="str">
        <f>+'Plan de Adquisiciones '!Q81</f>
        <v>Directa</v>
      </c>
      <c r="S54" s="107">
        <f>+'Plan de Adquisiciones '!R81</f>
        <v>48689322</v>
      </c>
      <c r="T54" s="107">
        <f>+'Plan de Adquisiciones '!S81</f>
        <v>0</v>
      </c>
      <c r="U54" s="107">
        <f>+'Plan de Adquisiciones '!T81</f>
        <v>48689322</v>
      </c>
      <c r="V54" s="98">
        <f>+'Plan de Adquisiciones '!U81</f>
        <v>1</v>
      </c>
      <c r="W54" s="107">
        <f>+'Plan de Adquisiciones '!V81</f>
        <v>48689322</v>
      </c>
      <c r="X54" s="107">
        <f>+'Plan de Adquisiciones '!W81</f>
        <v>0</v>
      </c>
      <c r="Y54" s="107">
        <f>+'Plan de Adquisiciones '!X81</f>
        <v>48689322</v>
      </c>
      <c r="Z54" s="106">
        <f>+'Plan de Adquisiciones '!Y81</f>
        <v>42815</v>
      </c>
      <c r="AA54" s="106" t="s">
        <v>87</v>
      </c>
      <c r="AB54" s="106"/>
      <c r="AC54" s="97">
        <f>+'Plan de Adquisiciones '!Z81</f>
        <v>37</v>
      </c>
      <c r="AD54" s="108" t="str">
        <f>+'Plan de Adquisiciones '!AA81</f>
        <v>JAIME PARRA RODRIGUEZ</v>
      </c>
    </row>
    <row r="55" spans="1:30" ht="90" x14ac:dyDescent="0.25">
      <c r="A55" s="59" t="s">
        <v>387</v>
      </c>
      <c r="B55" s="75" t="s">
        <v>148</v>
      </c>
      <c r="C55" s="76" t="s">
        <v>131</v>
      </c>
      <c r="D55" s="59" t="s">
        <v>366</v>
      </c>
      <c r="E55" s="59" t="s">
        <v>365</v>
      </c>
      <c r="F55" s="97" t="str">
        <f>+'Plan de Adquisiciones '!F84</f>
        <v>Estudio de la  Estrategia de cualificación, investigación e innovación docente: comunidades de saber y de práctica pedagógica- Fase 2</v>
      </c>
      <c r="G55" s="98">
        <f>+'Plan de Adquisiciones '!G84</f>
        <v>151</v>
      </c>
      <c r="H55" s="97">
        <f>+'Plan de Adquisiciones '!H84</f>
        <v>0</v>
      </c>
      <c r="I55" s="97" t="str">
        <f>+'Plan de Adquisiciones '!I84</f>
        <v xml:space="preserve">Prestación de servicios profesionales para orientar el acompañamiento  a iniciativas de proyectos pedagógicos: Nivel I </v>
      </c>
      <c r="J55" s="97">
        <f>+'Plan de Adquisiciones '!J84</f>
        <v>80111621</v>
      </c>
      <c r="K55" s="97" t="str">
        <f>+'Plan de Adquisiciones '!K84</f>
        <v>Profesional 222-06</v>
      </c>
      <c r="L55" s="97" t="str">
        <f>+'Plan de Adquisiciones '!L84</f>
        <v>Luisa Acuña</v>
      </c>
      <c r="M55" s="97" t="s">
        <v>503</v>
      </c>
      <c r="N55" s="97" t="str">
        <f>+'Plan de Adquisiciones '!N84</f>
        <v>Febrero</v>
      </c>
      <c r="O55" s="97"/>
      <c r="P55" s="98">
        <f>+'Plan de Adquisiciones '!O84</f>
        <v>9</v>
      </c>
      <c r="Q55" s="97" t="str">
        <f>+'Plan de Adquisiciones '!P84</f>
        <v xml:space="preserve"> Contratación Directa</v>
      </c>
      <c r="R55" s="97" t="str">
        <f>+'Plan de Adquisiciones '!Q84</f>
        <v>Directa</v>
      </c>
      <c r="S55" s="107">
        <f>+'Plan de Adquisiciones '!R84</f>
        <v>59755077</v>
      </c>
      <c r="T55" s="107">
        <f>+'Plan de Adquisiciones '!S84</f>
        <v>0</v>
      </c>
      <c r="U55" s="107">
        <f>+'Plan de Adquisiciones '!T84</f>
        <v>59755077</v>
      </c>
      <c r="V55" s="98">
        <f>+'Plan de Adquisiciones '!U84</f>
        <v>1</v>
      </c>
      <c r="W55" s="107">
        <f>+'Plan de Adquisiciones '!V84</f>
        <v>59755077</v>
      </c>
      <c r="X55" s="107">
        <f>+'Plan de Adquisiciones '!W84</f>
        <v>0</v>
      </c>
      <c r="Y55" s="107">
        <f>+'Plan de Adquisiciones '!X84</f>
        <v>59755077</v>
      </c>
      <c r="Z55" s="106">
        <f>+'Plan de Adquisiciones '!Y84</f>
        <v>42794</v>
      </c>
      <c r="AA55" s="106" t="s">
        <v>51</v>
      </c>
      <c r="AB55" s="106"/>
      <c r="AC55" s="97">
        <f>+'Plan de Adquisiciones '!Z84</f>
        <v>9</v>
      </c>
      <c r="AD55" s="108" t="str">
        <f>+'Plan de Adquisiciones '!AA84</f>
        <v>OLGA BEJARANO BEJARANO</v>
      </c>
    </row>
    <row r="56" spans="1:30" ht="90" x14ac:dyDescent="0.25">
      <c r="A56" s="59" t="s">
        <v>388</v>
      </c>
      <c r="B56" s="75" t="s">
        <v>148</v>
      </c>
      <c r="C56" s="76" t="s">
        <v>131</v>
      </c>
      <c r="D56" s="61" t="s">
        <v>41</v>
      </c>
      <c r="E56" s="59" t="s">
        <v>365</v>
      </c>
      <c r="F56" s="97">
        <f>+'Plan de Adquisiciones '!F85</f>
        <v>0</v>
      </c>
      <c r="G56" s="98">
        <f>+'Plan de Adquisiciones '!G85</f>
        <v>152</v>
      </c>
      <c r="H56" s="97">
        <f>+'Plan de Adquisiciones '!H85</f>
        <v>0</v>
      </c>
      <c r="I56" s="97" t="str">
        <f>+'Plan de Adquisiciones '!I85</f>
        <v>Prestación de servicios profesionales para orientar el acompañamiento  a experiencias pedagógicas en desarrollo: Nivel II</v>
      </c>
      <c r="J56" s="97">
        <f>+'Plan de Adquisiciones '!J85</f>
        <v>80111621</v>
      </c>
      <c r="K56" s="97" t="str">
        <f>+'Plan de Adquisiciones '!K85</f>
        <v>Profesional 222-06</v>
      </c>
      <c r="L56" s="97" t="str">
        <f>+'Plan de Adquisiciones '!L85</f>
        <v>Luisa Acuña</v>
      </c>
      <c r="M56" s="97" t="s">
        <v>503</v>
      </c>
      <c r="N56" s="97" t="str">
        <f>+'Plan de Adquisiciones '!N85</f>
        <v>Febrero</v>
      </c>
      <c r="O56" s="97"/>
      <c r="P56" s="98">
        <f>+'Plan de Adquisiciones '!O85</f>
        <v>9</v>
      </c>
      <c r="Q56" s="97" t="str">
        <f>+'Plan de Adquisiciones '!P85</f>
        <v xml:space="preserve"> Contratación Directa</v>
      </c>
      <c r="R56" s="97" t="str">
        <f>+'Plan de Adquisiciones '!Q85</f>
        <v>Directa</v>
      </c>
      <c r="S56" s="107">
        <f>+'Plan de Adquisiciones '!R85</f>
        <v>59755077</v>
      </c>
      <c r="T56" s="107">
        <f>+'Plan de Adquisiciones '!S85</f>
        <v>0</v>
      </c>
      <c r="U56" s="107">
        <f>+'Plan de Adquisiciones '!T85</f>
        <v>59755077</v>
      </c>
      <c r="V56" s="98">
        <f>+'Plan de Adquisiciones '!U85</f>
        <v>1</v>
      </c>
      <c r="W56" s="107">
        <f>+'Plan de Adquisiciones '!V85</f>
        <v>59755077</v>
      </c>
      <c r="X56" s="107">
        <f>+'Plan de Adquisiciones '!W85</f>
        <v>0</v>
      </c>
      <c r="Y56" s="107">
        <f>+'Plan de Adquisiciones '!X85</f>
        <v>59755077</v>
      </c>
      <c r="Z56" s="106">
        <f>+'Plan de Adquisiciones '!Y85</f>
        <v>42794</v>
      </c>
      <c r="AA56" s="106" t="s">
        <v>51</v>
      </c>
      <c r="AB56" s="106"/>
      <c r="AC56" s="97">
        <f>+'Plan de Adquisiciones '!Z85</f>
        <v>10</v>
      </c>
      <c r="AD56" s="108" t="str">
        <f>+'Plan de Adquisiciones '!AA85</f>
        <v>LUZ CARDOZO ESPITIA</v>
      </c>
    </row>
    <row r="57" spans="1:30" ht="84" customHeight="1" x14ac:dyDescent="0.25">
      <c r="A57" s="59" t="s">
        <v>163</v>
      </c>
      <c r="B57" s="75" t="s">
        <v>148</v>
      </c>
      <c r="C57" s="76" t="s">
        <v>131</v>
      </c>
      <c r="D57" s="61" t="s">
        <v>41</v>
      </c>
      <c r="E57" s="59" t="s">
        <v>365</v>
      </c>
      <c r="F57" s="97">
        <f>+'Plan de Adquisiciones '!F86</f>
        <v>0</v>
      </c>
      <c r="G57" s="98">
        <f>+'Plan de Adquisiciones '!G86</f>
        <v>153</v>
      </c>
      <c r="H57" s="97">
        <f>+'Plan de Adquisiciones '!H86</f>
        <v>0</v>
      </c>
      <c r="I57" s="97" t="str">
        <f>+'Plan de Adquisiciones '!I86</f>
        <v>Prestación de servicios profesionales para orientar el acompañamiento  a la sistematización de experiencias pedagógicas significativas: Nivel III</v>
      </c>
      <c r="J57" s="97">
        <f>+'Plan de Adquisiciones '!J86</f>
        <v>80111621</v>
      </c>
      <c r="K57" s="97" t="str">
        <f>+'Plan de Adquisiciones '!K86</f>
        <v>Profesional 222-06</v>
      </c>
      <c r="L57" s="97" t="str">
        <f>+'Plan de Adquisiciones '!L86</f>
        <v>Luisa Acuña</v>
      </c>
      <c r="M57" s="97" t="s">
        <v>503</v>
      </c>
      <c r="N57" s="97" t="str">
        <f>+'Plan de Adquisiciones '!N86</f>
        <v>Febrero</v>
      </c>
      <c r="O57" s="97"/>
      <c r="P57" s="98">
        <f>+'Plan de Adquisiciones '!O86</f>
        <v>9</v>
      </c>
      <c r="Q57" s="97" t="str">
        <f>+'Plan de Adquisiciones '!P86</f>
        <v xml:space="preserve"> Contratación Directa</v>
      </c>
      <c r="R57" s="97" t="str">
        <f>+'Plan de Adquisiciones '!Q86</f>
        <v>Directa</v>
      </c>
      <c r="S57" s="107">
        <f>+'Plan de Adquisiciones '!R86</f>
        <v>59755077</v>
      </c>
      <c r="T57" s="107">
        <f>+'Plan de Adquisiciones '!S86</f>
        <v>0</v>
      </c>
      <c r="U57" s="107">
        <f>+'Plan de Adquisiciones '!T86</f>
        <v>59755077</v>
      </c>
      <c r="V57" s="98">
        <f>+'Plan de Adquisiciones '!U86</f>
        <v>1</v>
      </c>
      <c r="W57" s="107">
        <f>+'Plan de Adquisiciones '!V86</f>
        <v>59755077</v>
      </c>
      <c r="X57" s="107">
        <f>+'Plan de Adquisiciones '!W86</f>
        <v>0</v>
      </c>
      <c r="Y57" s="107">
        <f>+'Plan de Adquisiciones '!X86</f>
        <v>59755077</v>
      </c>
      <c r="Z57" s="106">
        <f>+'Plan de Adquisiciones '!Y86</f>
        <v>42794</v>
      </c>
      <c r="AA57" s="106" t="s">
        <v>51</v>
      </c>
      <c r="AB57" s="106"/>
      <c r="AC57" s="97">
        <f>+'Plan de Adquisiciones '!Z86</f>
        <v>11</v>
      </c>
      <c r="AD57" s="108" t="str">
        <f>+'Plan de Adquisiciones '!AA86</f>
        <v>ADRIANA LONDOÑO CANCELADO</v>
      </c>
    </row>
    <row r="58" spans="1:30" ht="90" x14ac:dyDescent="0.25">
      <c r="A58" s="59" t="s">
        <v>371</v>
      </c>
      <c r="B58" s="75" t="s">
        <v>148</v>
      </c>
      <c r="C58" s="76" t="s">
        <v>131</v>
      </c>
      <c r="D58" s="61" t="s">
        <v>41</v>
      </c>
      <c r="E58" s="59" t="s">
        <v>365</v>
      </c>
      <c r="F58" s="97">
        <f>+'Plan de Adquisiciones '!F87</f>
        <v>0</v>
      </c>
      <c r="G58" s="98">
        <f>+'Plan de Adquisiciones '!G87</f>
        <v>154</v>
      </c>
      <c r="H58" s="97">
        <f>+'Plan de Adquisiciones '!H87</f>
        <v>0</v>
      </c>
      <c r="I58" s="97" t="str">
        <f>+'Plan de Adquisiciones '!I87</f>
        <v>Aunar esfuerzos para realizar procesos de cualificación en los tres niveles de acompañamiento a docentes y reconocimiento en territorio de experiencias pedagógicas significativas</v>
      </c>
      <c r="J58" s="97">
        <f>+'Plan de Adquisiciones '!J87</f>
        <v>80111621</v>
      </c>
      <c r="K58" s="97" t="str">
        <f>+'Plan de Adquisiciones '!K87</f>
        <v>Profesional 222-06</v>
      </c>
      <c r="L58" s="97" t="str">
        <f>+'Plan de Adquisiciones '!L87</f>
        <v>Luisa Acuña</v>
      </c>
      <c r="M58" s="97" t="s">
        <v>503</v>
      </c>
      <c r="N58" s="97" t="str">
        <f>+'Plan de Adquisiciones '!N87</f>
        <v>Mayo</v>
      </c>
      <c r="O58" s="97"/>
      <c r="P58" s="98">
        <f>+'Plan de Adquisiciones '!O87</f>
        <v>7</v>
      </c>
      <c r="Q58" s="97" t="str">
        <f>+'Plan de Adquisiciones '!P87</f>
        <v xml:space="preserve"> Contratación Directa</v>
      </c>
      <c r="R58" s="97" t="str">
        <f>+'Plan de Adquisiciones '!Q87</f>
        <v>Directa</v>
      </c>
      <c r="S58" s="107">
        <f>+'Plan de Adquisiciones '!R87</f>
        <v>200000000</v>
      </c>
      <c r="T58" s="107">
        <f>+'Plan de Adquisiciones '!S87</f>
        <v>0</v>
      </c>
      <c r="U58" s="107">
        <f>+'Plan de Adquisiciones '!T87</f>
        <v>200000000</v>
      </c>
      <c r="V58" s="98">
        <f>+'Plan de Adquisiciones '!U87</f>
        <v>1</v>
      </c>
      <c r="W58" s="107">
        <f>+'Plan de Adquisiciones '!V87</f>
        <v>200000000</v>
      </c>
      <c r="X58" s="107">
        <f>+'Plan de Adquisiciones '!W87</f>
        <v>0</v>
      </c>
      <c r="Y58" s="107">
        <f>+'Plan de Adquisiciones '!X87</f>
        <v>200000000</v>
      </c>
      <c r="Z58" s="106">
        <f>+'Plan de Adquisiciones '!Y87</f>
        <v>42864</v>
      </c>
      <c r="AA58" s="106" t="s">
        <v>56</v>
      </c>
      <c r="AB58" s="106"/>
      <c r="AC58" s="97">
        <f>+'Plan de Adquisiciones '!Z87</f>
        <v>77</v>
      </c>
      <c r="AD58" s="108" t="str">
        <f>+'Plan de Adquisiciones '!AA87</f>
        <v>UNIVERSIDAD DIStRITAL</v>
      </c>
    </row>
    <row r="59" spans="1:30" ht="90" x14ac:dyDescent="0.25">
      <c r="A59" s="59" t="s">
        <v>372</v>
      </c>
      <c r="B59" s="75" t="s">
        <v>148</v>
      </c>
      <c r="C59" s="76" t="s">
        <v>131</v>
      </c>
      <c r="D59" s="61" t="s">
        <v>41</v>
      </c>
      <c r="E59" s="104"/>
      <c r="F59" s="97">
        <f>+'Plan de Adquisiciones '!F88</f>
        <v>0</v>
      </c>
      <c r="G59" s="98">
        <f>+'Plan de Adquisiciones '!G88</f>
        <v>84</v>
      </c>
      <c r="H59" s="97">
        <f>+'Plan de Adquisiciones '!H88</f>
        <v>0</v>
      </c>
      <c r="I59" s="97" t="str">
        <f>+'Plan de Adquisiciones '!I88</f>
        <v>Prestación de servicios profesionales para realizar el apoyo administrativo del componente cualificación, investigación e innovación docente: comunidades de saber y práctica pedagógica</v>
      </c>
      <c r="J59" s="97">
        <f>+'Plan de Adquisiciones '!J88</f>
        <v>80111601</v>
      </c>
      <c r="K59" s="97" t="str">
        <f>+'Plan de Adquisiciones '!K88</f>
        <v xml:space="preserve">Asesor 105-02 </v>
      </c>
      <c r="L59" s="97" t="str">
        <f>+'Plan de Adquisiciones '!L88</f>
        <v>Edwin Ferley Ortíz</v>
      </c>
      <c r="M59" s="97" t="s">
        <v>503</v>
      </c>
      <c r="N59" s="97" t="str">
        <f>+'Plan de Adquisiciones '!N73</f>
        <v>Marzo</v>
      </c>
      <c r="O59" s="97"/>
      <c r="P59" s="98">
        <f>+'Plan de Adquisiciones '!O88</f>
        <v>7</v>
      </c>
      <c r="Q59" s="97" t="str">
        <f>+'Plan de Adquisiciones '!P88</f>
        <v xml:space="preserve"> Contratación Directa</v>
      </c>
      <c r="R59" s="97" t="str">
        <f>+'Plan de Adquisiciones '!Q88</f>
        <v>Directa</v>
      </c>
      <c r="S59" s="107">
        <f>+'Plan de Adquisiciones '!R88</f>
        <v>40574435</v>
      </c>
      <c r="T59" s="107">
        <f>+'Plan de Adquisiciones '!S88</f>
        <v>0</v>
      </c>
      <c r="U59" s="107">
        <f>+'Plan de Adquisiciones '!T88</f>
        <v>40574435</v>
      </c>
      <c r="V59" s="98">
        <f>+'Plan de Adquisiciones '!U88</f>
        <v>1</v>
      </c>
      <c r="W59" s="107">
        <f>+'Plan de Adquisiciones '!V88</f>
        <v>40574435</v>
      </c>
      <c r="X59" s="107">
        <f>+'Plan de Adquisiciones '!W88</f>
        <v>0</v>
      </c>
      <c r="Y59" s="107">
        <f>+'Plan de Adquisiciones '!X88</f>
        <v>40574435</v>
      </c>
      <c r="Z59" s="106">
        <f>+'Plan de Adquisiciones '!Y88</f>
        <v>42766</v>
      </c>
      <c r="AA59" s="106" t="s">
        <v>72</v>
      </c>
      <c r="AB59" s="106"/>
      <c r="AC59" s="97">
        <f>+'Plan de Adquisiciones '!Z88</f>
        <v>3</v>
      </c>
      <c r="AD59" s="108" t="str">
        <f>+'Plan de Adquisiciones '!AA88</f>
        <v>DIANA CAROLINA MARTINEZ</v>
      </c>
    </row>
    <row r="60" spans="1:30" ht="101.25" x14ac:dyDescent="0.25">
      <c r="A60" s="59" t="s">
        <v>163</v>
      </c>
      <c r="B60" s="75" t="s">
        <v>148</v>
      </c>
      <c r="C60" s="77" t="s">
        <v>131</v>
      </c>
      <c r="D60" s="59" t="s">
        <v>44</v>
      </c>
      <c r="E60" s="59" t="s">
        <v>44</v>
      </c>
      <c r="F60" s="97">
        <f>+'Plan de Adquisiciones '!F89</f>
        <v>0</v>
      </c>
      <c r="G60" s="98">
        <f>+'Plan de Adquisiciones '!G89</f>
        <v>198</v>
      </c>
      <c r="H60" s="97">
        <f>+'Plan de Adquisiciones '!H89</f>
        <v>0</v>
      </c>
      <c r="I60" s="97" t="str">
        <f>+'Plan de Adquisiciones '!I89</f>
        <v>Prestación de servicios profesionales para orientar conceptual y metodológicamente la caracterización y consolidación  de experiencias pedagógicas en las localidades del Distrito Capital, en el marco del Convenio 1452 de 2017 en su componente 4.</v>
      </c>
      <c r="J60" s="97">
        <f>+'Plan de Adquisiciones '!J89</f>
        <v>80111621</v>
      </c>
      <c r="K60" s="97" t="str">
        <f>+'Plan de Adquisiciones '!K89</f>
        <v>Profesional Universitario 219-01</v>
      </c>
      <c r="L60" s="97" t="str">
        <f>+'Plan de Adquisiciones '!L89</f>
        <v>Andrea Bustamante</v>
      </c>
      <c r="M60" s="97" t="s">
        <v>503</v>
      </c>
      <c r="N60" s="97" t="str">
        <f>+'Plan de Adquisiciones '!N74</f>
        <v>Marzo</v>
      </c>
      <c r="O60" s="97"/>
      <c r="P60" s="98">
        <f>+'Plan de Adquisiciones '!O89</f>
        <v>8</v>
      </c>
      <c r="Q60" s="97" t="str">
        <f>+'Plan de Adquisiciones '!P89</f>
        <v xml:space="preserve"> Contratación Directa</v>
      </c>
      <c r="R60" s="97" t="str">
        <f>+'Plan de Adquisiciones '!Q89</f>
        <v>Directa</v>
      </c>
      <c r="S60" s="107">
        <f>+'Plan de Adquisiciones '!R89</f>
        <v>73033983</v>
      </c>
      <c r="T60" s="107">
        <f>+'Plan de Adquisiciones '!S89</f>
        <v>0</v>
      </c>
      <c r="U60" s="107">
        <f>+'Plan de Adquisiciones '!T89</f>
        <v>73033983</v>
      </c>
      <c r="V60" s="98">
        <f>+'Plan de Adquisiciones '!U89</f>
        <v>1</v>
      </c>
      <c r="W60" s="107">
        <f>+'Plan de Adquisiciones '!V89</f>
        <v>73033983</v>
      </c>
      <c r="X60" s="107">
        <f>+'Plan de Adquisiciones '!W89</f>
        <v>0</v>
      </c>
      <c r="Y60" s="107">
        <f>+'Plan de Adquisiciones '!X89</f>
        <v>73033983</v>
      </c>
      <c r="Z60" s="106">
        <f>+'Plan de Adquisiciones '!Y89</f>
        <v>42844</v>
      </c>
      <c r="AA60" s="106" t="s">
        <v>63</v>
      </c>
      <c r="AB60" s="106"/>
      <c r="AC60" s="97">
        <f>+'Plan de Adquisiciones '!Z89</f>
        <v>53</v>
      </c>
      <c r="AD60" s="108" t="str">
        <f>+'Plan de Adquisiciones '!AA89</f>
        <v>ADRIANA LOPEZ CAMACHO</v>
      </c>
    </row>
    <row r="61" spans="1:30" ht="112.5" x14ac:dyDescent="0.25">
      <c r="A61" s="60" t="s">
        <v>163</v>
      </c>
      <c r="B61" s="62" t="s">
        <v>148</v>
      </c>
      <c r="C61" s="77" t="s">
        <v>131</v>
      </c>
      <c r="D61" s="59" t="s">
        <v>44</v>
      </c>
      <c r="E61" s="59" t="s">
        <v>44</v>
      </c>
      <c r="F61" s="97">
        <f>+'Plan de Adquisiciones '!F90</f>
        <v>0</v>
      </c>
      <c r="G61" s="98">
        <f>+'Plan de Adquisiciones '!G90</f>
        <v>199</v>
      </c>
      <c r="H61" s="97">
        <f>+'Plan de Adquisiciones '!H90</f>
        <v>0</v>
      </c>
      <c r="I61" s="97" t="str">
        <f>+'Plan de Adquisiciones '!I90</f>
        <v>Prestación de servicios profesionales para la implementación de la estrategia de educomunicación de las actividades realizadas por el IDEP en el marco de convenio 1452 de 2017 con el uso  y desarrollo de las Tecnologías de la Información y Comunicación, TIC.</v>
      </c>
      <c r="J61" s="97">
        <f>+'Plan de Adquisiciones '!J90</f>
        <v>80111621</v>
      </c>
      <c r="K61" s="97" t="str">
        <f>+'Plan de Adquisiciones '!K90</f>
        <v>Subdirector Académico</v>
      </c>
      <c r="L61" s="97" t="str">
        <f>+'Plan de Adquisiciones '!L90</f>
        <v>Juliana Gutiérrez</v>
      </c>
      <c r="M61" s="97" t="s">
        <v>503</v>
      </c>
      <c r="N61" s="97" t="str">
        <f>+'Plan de Adquisiciones '!N75</f>
        <v>Febrero</v>
      </c>
      <c r="O61" s="97"/>
      <c r="P61" s="98">
        <f>+'Plan de Adquisiciones '!O90</f>
        <v>8</v>
      </c>
      <c r="Q61" s="97" t="str">
        <f>+'Plan de Adquisiciones '!P90</f>
        <v xml:space="preserve"> Contratación Directa</v>
      </c>
      <c r="R61" s="97" t="str">
        <f>+'Plan de Adquisiciones '!Q90</f>
        <v>Directa</v>
      </c>
      <c r="S61" s="107">
        <f>+'Plan de Adquisiciones '!R90</f>
        <v>54319394</v>
      </c>
      <c r="T61" s="107">
        <f>+'Plan de Adquisiciones '!S90</f>
        <v>0</v>
      </c>
      <c r="U61" s="107">
        <f>+'Plan de Adquisiciones '!T90</f>
        <v>54319394</v>
      </c>
      <c r="V61" s="98">
        <f>+'Plan de Adquisiciones '!U90</f>
        <v>1</v>
      </c>
      <c r="W61" s="107">
        <f>+'Plan de Adquisiciones '!V90</f>
        <v>54319394</v>
      </c>
      <c r="X61" s="107">
        <f>+'Plan de Adquisiciones '!W90</f>
        <v>0</v>
      </c>
      <c r="Y61" s="107">
        <f>+'Plan de Adquisiciones '!X90</f>
        <v>54319394</v>
      </c>
      <c r="Z61" s="106">
        <f>+'Plan de Adquisiciones '!Y90</f>
        <v>42851</v>
      </c>
      <c r="AA61" s="106" t="s">
        <v>63</v>
      </c>
      <c r="AB61" s="106"/>
      <c r="AC61" s="97">
        <f>+'Plan de Adquisiciones '!Z90</f>
        <v>64</v>
      </c>
      <c r="AD61" s="108" t="str">
        <f>+'Plan de Adquisiciones '!AA90</f>
        <v>MARIA LUISA TRUJILLO MARTINEZ</v>
      </c>
    </row>
    <row r="62" spans="1:30" ht="123.75" x14ac:dyDescent="0.25">
      <c r="A62" s="60" t="s">
        <v>163</v>
      </c>
      <c r="B62" s="62" t="s">
        <v>148</v>
      </c>
      <c r="C62" s="77" t="s">
        <v>131</v>
      </c>
      <c r="D62" s="59" t="s">
        <v>44</v>
      </c>
      <c r="E62" s="59" t="s">
        <v>44</v>
      </c>
      <c r="F62" s="97">
        <f>+'Plan de Adquisiciones '!F91</f>
        <v>0</v>
      </c>
      <c r="G62" s="98">
        <f>+'Plan de Adquisiciones '!G91</f>
        <v>200</v>
      </c>
      <c r="H62" s="97">
        <f>+'Plan de Adquisiciones '!H91</f>
        <v>0</v>
      </c>
      <c r="I62" s="97" t="str">
        <f>+'Plan de Adquisiciones '!I91</f>
        <v xml:space="preserve">Prestación de servicios profesionales para realizar acciones de comunicación en los canales y medios institucionales, difusión externa, prensa y manejo de relaciones con medios de comunicación para la divulgación y socialización de las actividades realizadas por el IDEP en el marco del Convenio 1452 de 2017. </v>
      </c>
      <c r="J62" s="97">
        <f>+'Plan de Adquisiciones '!J91</f>
        <v>80111621</v>
      </c>
      <c r="K62" s="97" t="str">
        <f>+'Plan de Adquisiciones '!K91</f>
        <v>Subdirector Académico</v>
      </c>
      <c r="L62" s="97" t="str">
        <f>+'Plan de Adquisiciones '!L91</f>
        <v>Juliana Gutiérrez</v>
      </c>
      <c r="M62" s="97" t="s">
        <v>503</v>
      </c>
      <c r="N62" s="97" t="str">
        <f>+'Plan de Adquisiciones '!N91</f>
        <v>Mayo</v>
      </c>
      <c r="O62" s="97"/>
      <c r="P62" s="98">
        <f>+'Plan de Adquisiciones '!O91</f>
        <v>7</v>
      </c>
      <c r="Q62" s="97" t="str">
        <f>+'Plan de Adquisiciones '!P91</f>
        <v xml:space="preserve"> Contratación Directa</v>
      </c>
      <c r="R62" s="97" t="str">
        <f>+'Plan de Adquisiciones '!Q91</f>
        <v>Directa</v>
      </c>
      <c r="S62" s="107">
        <f>+'Plan de Adquisiciones '!R91</f>
        <v>35300040</v>
      </c>
      <c r="T62" s="107">
        <f>+'Plan de Adquisiciones '!S91</f>
        <v>0</v>
      </c>
      <c r="U62" s="107">
        <f>+'Plan de Adquisiciones '!T91</f>
        <v>35300040</v>
      </c>
      <c r="V62" s="98">
        <f>+'Plan de Adquisiciones '!U91</f>
        <v>1</v>
      </c>
      <c r="W62" s="107">
        <f>+'Plan de Adquisiciones '!V91</f>
        <v>35300040</v>
      </c>
      <c r="X62" s="107">
        <f>+'Plan de Adquisiciones '!W91</f>
        <v>0</v>
      </c>
      <c r="Y62" s="107">
        <f>+'Plan de Adquisiciones '!X91</f>
        <v>35300040</v>
      </c>
      <c r="Z62" s="106">
        <f>+'Plan de Adquisiciones '!Y91</f>
        <v>42865</v>
      </c>
      <c r="AA62" s="106" t="s">
        <v>56</v>
      </c>
      <c r="AB62" s="106"/>
      <c r="AC62" s="97">
        <f>+'Plan de Adquisiciones '!Z91</f>
        <v>78</v>
      </c>
      <c r="AD62" s="108" t="str">
        <f>+'Plan de Adquisiciones '!AA91</f>
        <v>RICHAR ROMO GUASCAS</v>
      </c>
    </row>
    <row r="63" spans="1:30" ht="90" x14ac:dyDescent="0.25">
      <c r="A63" s="60" t="s">
        <v>163</v>
      </c>
      <c r="B63" s="62" t="s">
        <v>148</v>
      </c>
      <c r="C63" s="77" t="s">
        <v>131</v>
      </c>
      <c r="D63" s="59" t="s">
        <v>44</v>
      </c>
      <c r="E63" s="59" t="s">
        <v>44</v>
      </c>
      <c r="F63" s="97">
        <f>+'Plan de Adquisiciones '!F92</f>
        <v>0</v>
      </c>
      <c r="G63" s="98">
        <f>+'Plan de Adquisiciones '!G92</f>
        <v>232</v>
      </c>
      <c r="H63" s="97">
        <f>+'Plan de Adquisiciones '!H92</f>
        <v>0</v>
      </c>
      <c r="I63" s="97" t="str">
        <f>+'Plan de Adquisiciones '!I92</f>
        <v>Prestación de servicios profesionales para realizar la caracterización y consolidación  de experiencias pedagógicas en las localidades 4, 5, 6, 19, 20 del Distrito Capital, en el marco del Convenio 1452 de 2017 en su componente 4.</v>
      </c>
      <c r="J63" s="97">
        <f>+'Plan de Adquisiciones '!J92</f>
        <v>80111621</v>
      </c>
      <c r="K63" s="97" t="str">
        <f>+'Plan de Adquisiciones '!K92</f>
        <v>Profesional Universitario 219-01</v>
      </c>
      <c r="L63" s="97" t="str">
        <f>+'Plan de Adquisiciones '!L92</f>
        <v>Andrea Bustamante</v>
      </c>
      <c r="M63" s="97" t="s">
        <v>503</v>
      </c>
      <c r="N63" s="97" t="str">
        <f>+'Plan de Adquisiciones '!N77</f>
        <v>Abril</v>
      </c>
      <c r="O63" s="97"/>
      <c r="P63" s="98">
        <f>+'Plan de Adquisiciones '!O92</f>
        <v>7</v>
      </c>
      <c r="Q63" s="97" t="str">
        <f>+'Plan de Adquisiciones '!P92</f>
        <v xml:space="preserve"> Contratación Directa</v>
      </c>
      <c r="R63" s="97" t="str">
        <f>+'Plan de Adquisiciones '!Q92</f>
        <v>Directa</v>
      </c>
      <c r="S63" s="107">
        <f>+'Plan de Adquisiciones '!R92</f>
        <v>3981659</v>
      </c>
      <c r="T63" s="107">
        <f>+'Plan de Adquisiciones '!S92</f>
        <v>42494512</v>
      </c>
      <c r="U63" s="107">
        <f>+'Plan de Adquisiciones '!T92</f>
        <v>46476171</v>
      </c>
      <c r="V63" s="98">
        <f>+'Plan de Adquisiciones '!U92</f>
        <v>1</v>
      </c>
      <c r="W63" s="107">
        <f>+'Plan de Adquisiciones '!V92</f>
        <v>3981659</v>
      </c>
      <c r="X63" s="107">
        <f>+'Plan de Adquisiciones '!W92</f>
        <v>42494512</v>
      </c>
      <c r="Y63" s="107">
        <f>+'Plan de Adquisiciones '!X92</f>
        <v>46476171</v>
      </c>
      <c r="Z63" s="106">
        <f>+'Plan de Adquisiciones '!Y92</f>
        <v>42849</v>
      </c>
      <c r="AA63" s="106" t="s">
        <v>63</v>
      </c>
      <c r="AB63" s="106"/>
      <c r="AC63" s="97">
        <f>+'Plan de Adquisiciones '!Z92</f>
        <v>57</v>
      </c>
      <c r="AD63" s="108" t="str">
        <f>+'Plan de Adquisiciones '!AA92</f>
        <v>NADIA JOHANA HERNANDEZ ORDOÑEZ</v>
      </c>
    </row>
    <row r="64" spans="1:30" ht="90" x14ac:dyDescent="0.25">
      <c r="A64" s="60" t="s">
        <v>163</v>
      </c>
      <c r="B64" s="62" t="s">
        <v>148</v>
      </c>
      <c r="C64" s="77" t="s">
        <v>131</v>
      </c>
      <c r="D64" s="59" t="s">
        <v>44</v>
      </c>
      <c r="E64" s="59" t="s">
        <v>44</v>
      </c>
      <c r="F64" s="97">
        <f>+'Plan de Adquisiciones '!F93</f>
        <v>0</v>
      </c>
      <c r="G64" s="98">
        <f>+'Plan de Adquisiciones '!G93</f>
        <v>233</v>
      </c>
      <c r="H64" s="97">
        <f>+'Plan de Adquisiciones '!H93</f>
        <v>0</v>
      </c>
      <c r="I64" s="97" t="str">
        <f>+'Plan de Adquisiciones '!I93</f>
        <v>Prestación de servicios profesionales para realizar la caracterización y consolidación  de experiencias pedagógicas en las localidades  1, 2, 3, 10, 11, 12, 13, 16, 17 del Distrito Capital, en el marco del Convenio 1452 de 2017 en su componente 4.</v>
      </c>
      <c r="J64" s="97">
        <f>+'Plan de Adquisiciones '!J93</f>
        <v>80111621</v>
      </c>
      <c r="K64" s="97" t="str">
        <f>+'Plan de Adquisiciones '!K93</f>
        <v>Profesional Universitario 219-01</v>
      </c>
      <c r="L64" s="97" t="str">
        <f>+'Plan de Adquisiciones '!L93</f>
        <v>Andrea Bustamante</v>
      </c>
      <c r="M64" s="97" t="s">
        <v>503</v>
      </c>
      <c r="N64" s="97" t="str">
        <f>+'Plan de Adquisiciones '!N93</f>
        <v>Abril</v>
      </c>
      <c r="O64" s="97"/>
      <c r="P64" s="98">
        <f>+'Plan de Adquisiciones '!O93</f>
        <v>7</v>
      </c>
      <c r="Q64" s="97" t="str">
        <f>+'Plan de Adquisiciones '!P93</f>
        <v xml:space="preserve"> Contratación Directa</v>
      </c>
      <c r="R64" s="97" t="str">
        <f>+'Plan de Adquisiciones '!Q93</f>
        <v>Directa</v>
      </c>
      <c r="S64" s="107">
        <f>+'Plan de Adquisiciones '!R93</f>
        <v>0</v>
      </c>
      <c r="T64" s="107">
        <f>+'Plan de Adquisiciones '!S93</f>
        <v>46476171</v>
      </c>
      <c r="U64" s="107">
        <f>+'Plan de Adquisiciones '!T93</f>
        <v>46476171</v>
      </c>
      <c r="V64" s="98">
        <f>+'Plan de Adquisiciones '!U93</f>
        <v>1</v>
      </c>
      <c r="W64" s="107">
        <f>+'Plan de Adquisiciones '!V93</f>
        <v>0</v>
      </c>
      <c r="X64" s="107">
        <f>+'Plan de Adquisiciones '!W93</f>
        <v>46476171</v>
      </c>
      <c r="Y64" s="107">
        <f>+'Plan de Adquisiciones '!X93</f>
        <v>46476171</v>
      </c>
      <c r="Z64" s="106">
        <f>+'Plan de Adquisiciones '!Y93</f>
        <v>42850</v>
      </c>
      <c r="AA64" s="106" t="s">
        <v>63</v>
      </c>
      <c r="AB64" s="106"/>
      <c r="AC64" s="97">
        <f>+'Plan de Adquisiciones '!Z93</f>
        <v>59</v>
      </c>
      <c r="AD64" s="108" t="str">
        <f>+'Plan de Adquisiciones '!AA93</f>
        <v>ANDREA OSORIO VILLADA</v>
      </c>
    </row>
    <row r="65" spans="1:30" ht="90" x14ac:dyDescent="0.25">
      <c r="A65" s="60" t="s">
        <v>163</v>
      </c>
      <c r="B65" s="62" t="s">
        <v>148</v>
      </c>
      <c r="C65" s="77" t="s">
        <v>131</v>
      </c>
      <c r="D65" s="59" t="s">
        <v>44</v>
      </c>
      <c r="E65" s="59" t="s">
        <v>44</v>
      </c>
      <c r="F65" s="97">
        <f>+'Plan de Adquisiciones '!F94</f>
        <v>0</v>
      </c>
      <c r="G65" s="98">
        <f>+'Plan de Adquisiciones '!G94</f>
        <v>234</v>
      </c>
      <c r="H65" s="97">
        <f>+'Plan de Adquisiciones '!H94</f>
        <v>0</v>
      </c>
      <c r="I65" s="97" t="str">
        <f>+'Plan de Adquisiciones '!I94</f>
        <v>Prestación de servicios profesionales para realizar la caracterización y consolidación  de experiencias pedagógicas en las localidades 7, 8, 9, 14, 15, 18 del Distrito Capital, en el marco del Convenio 1452 de 2017 en su componente 4.</v>
      </c>
      <c r="J65" s="97">
        <f>+'Plan de Adquisiciones '!J94</f>
        <v>80111621</v>
      </c>
      <c r="K65" s="97" t="str">
        <f>+'Plan de Adquisiciones '!K94</f>
        <v>Profesional Universitario 219-01</v>
      </c>
      <c r="L65" s="97" t="str">
        <f>+'Plan de Adquisiciones '!L94</f>
        <v>Andrea Bustamante</v>
      </c>
      <c r="M65" s="97" t="s">
        <v>503</v>
      </c>
      <c r="N65" s="97" t="str">
        <f>+'Plan de Adquisiciones '!N94</f>
        <v>Abril</v>
      </c>
      <c r="O65" s="97"/>
      <c r="P65" s="98">
        <f>+'Plan de Adquisiciones '!O94</f>
        <v>7</v>
      </c>
      <c r="Q65" s="97" t="str">
        <f>+'Plan de Adquisiciones '!P94</f>
        <v xml:space="preserve"> Contratación Directa</v>
      </c>
      <c r="R65" s="97" t="str">
        <f>+'Plan de Adquisiciones '!Q94</f>
        <v>Directa</v>
      </c>
      <c r="S65" s="107">
        <f>+'Plan de Adquisiciones '!R94</f>
        <v>0</v>
      </c>
      <c r="T65" s="107">
        <f>+'Plan de Adquisiciones '!S94</f>
        <v>46476171</v>
      </c>
      <c r="U65" s="107">
        <f>+'Plan de Adquisiciones '!T94</f>
        <v>46476171</v>
      </c>
      <c r="V65" s="98">
        <f>+'Plan de Adquisiciones '!U94</f>
        <v>1</v>
      </c>
      <c r="W65" s="107">
        <f>+'Plan de Adquisiciones '!V94</f>
        <v>0</v>
      </c>
      <c r="X65" s="107">
        <f>+'Plan de Adquisiciones '!W94</f>
        <v>46476171</v>
      </c>
      <c r="Y65" s="107">
        <f>+'Plan de Adquisiciones '!X94</f>
        <v>46476171</v>
      </c>
      <c r="Z65" s="106">
        <f>+'Plan de Adquisiciones '!Y94</f>
        <v>42850</v>
      </c>
      <c r="AA65" s="106" t="s">
        <v>63</v>
      </c>
      <c r="AB65" s="106"/>
      <c r="AC65" s="97">
        <f>+'Plan de Adquisiciones '!Z94</f>
        <v>58</v>
      </c>
      <c r="AD65" s="108" t="str">
        <f>+'Plan de Adquisiciones '!AA94</f>
        <v>JUAN NIETO MOLINA</v>
      </c>
    </row>
    <row r="66" spans="1:30" ht="67.5" x14ac:dyDescent="0.25">
      <c r="A66" s="60" t="s">
        <v>163</v>
      </c>
      <c r="B66" s="62" t="s">
        <v>148</v>
      </c>
      <c r="C66" s="77" t="s">
        <v>131</v>
      </c>
      <c r="D66" s="59" t="s">
        <v>44</v>
      </c>
      <c r="E66" s="59" t="s">
        <v>44</v>
      </c>
      <c r="F66" s="97">
        <f>+'Plan de Adquisiciones '!F95</f>
        <v>0</v>
      </c>
      <c r="G66" s="98">
        <f>+'Plan de Adquisiciones '!G95</f>
        <v>235</v>
      </c>
      <c r="H66" s="97">
        <f>+'Plan de Adquisiciones '!H95</f>
        <v>0</v>
      </c>
      <c r="I66" s="97" t="str">
        <f>+'Plan de Adquisiciones '!I95</f>
        <v>Prestación de servicios profesionales para realizar el apoyo administrativo, en el marco del Convenio 1452 de 2017 en su componente 4.</v>
      </c>
      <c r="J66" s="97">
        <f>+'Plan de Adquisiciones '!J95</f>
        <v>80111621</v>
      </c>
      <c r="K66" s="97" t="str">
        <f>+'Plan de Adquisiciones '!K95</f>
        <v>Profesional Universitario 219-01</v>
      </c>
      <c r="L66" s="97" t="str">
        <f>+'Plan de Adquisiciones '!L95</f>
        <v>Andrea Bustamante</v>
      </c>
      <c r="M66" s="97" t="s">
        <v>503</v>
      </c>
      <c r="N66" s="97" t="str">
        <f>+'Plan de Adquisiciones '!N95</f>
        <v>Abril</v>
      </c>
      <c r="O66" s="97"/>
      <c r="P66" s="98">
        <f>+'Plan de Adquisiciones '!O95</f>
        <v>8</v>
      </c>
      <c r="Q66" s="97" t="str">
        <f>+'Plan de Adquisiciones '!P95</f>
        <v xml:space="preserve"> Contratación Directa</v>
      </c>
      <c r="R66" s="97" t="str">
        <f>+'Plan de Adquisiciones '!Q95</f>
        <v>Directa</v>
      </c>
      <c r="S66" s="107">
        <f>+'Plan de Adquisiciones '!R95</f>
        <v>0</v>
      </c>
      <c r="T66" s="107">
        <f>+'Plan de Adquisiciones '!S95</f>
        <v>32505654</v>
      </c>
      <c r="U66" s="107">
        <f>+'Plan de Adquisiciones '!T95</f>
        <v>32505654</v>
      </c>
      <c r="V66" s="98">
        <f>+'Plan de Adquisiciones '!U95</f>
        <v>1</v>
      </c>
      <c r="W66" s="107">
        <f>+'Plan de Adquisiciones '!V95</f>
        <v>0</v>
      </c>
      <c r="X66" s="107">
        <f>+'Plan de Adquisiciones '!W95</f>
        <v>32505654</v>
      </c>
      <c r="Y66" s="107">
        <f>+'Plan de Adquisiciones '!X95</f>
        <v>32505654</v>
      </c>
      <c r="Z66" s="106">
        <f>+'Plan de Adquisiciones '!Y95</f>
        <v>42843</v>
      </c>
      <c r="AA66" s="106" t="s">
        <v>63</v>
      </c>
      <c r="AB66" s="106"/>
      <c r="AC66" s="97">
        <f>+'Plan de Adquisiciones '!Z95</f>
        <v>46</v>
      </c>
      <c r="AD66" s="108" t="str">
        <f>+'Plan de Adquisiciones '!AA95</f>
        <v>BETTY BLANCO SANDOVAL</v>
      </c>
    </row>
    <row r="67" spans="1:30" ht="180" x14ac:dyDescent="0.25">
      <c r="A67" s="60" t="s">
        <v>163</v>
      </c>
      <c r="B67" s="62" t="s">
        <v>148</v>
      </c>
      <c r="C67" s="77" t="s">
        <v>131</v>
      </c>
      <c r="D67" s="59" t="s">
        <v>44</v>
      </c>
      <c r="E67" s="59" t="s">
        <v>44</v>
      </c>
      <c r="F67" s="97">
        <f>+'Plan de Adquisiciones '!F96</f>
        <v>0</v>
      </c>
      <c r="G67" s="98">
        <f>+'Plan de Adquisiciones '!G96</f>
        <v>258</v>
      </c>
      <c r="H67" s="97">
        <f>+'Plan de Adquisiciones '!H96</f>
        <v>0</v>
      </c>
      <c r="I67" s="97" t="str">
        <f>+'Plan de Adquisiciones '!I96</f>
        <v>Prestación de servicios para apoyar en la actualización y consolidación del mapeo realizado por la SED y el IDEP en el  2016, para alimentar las aplicaciones de georeferenciación del IDECA (Mapas Bogotá y plataformas asociadas), que permitan visibilizar el resultado del mapeo de las experiencias de investigación, innovación educativa y redes pedagógicas de Bogotá, en el marco del Convenio 1452 de 2017 en su componente 4.</v>
      </c>
      <c r="J67" s="97">
        <f>+'Plan de Adquisiciones '!J96</f>
        <v>80111621</v>
      </c>
      <c r="K67" s="97" t="str">
        <f>+'Plan de Adquisiciones '!K96</f>
        <v xml:space="preserve">Asesor 105-02 </v>
      </c>
      <c r="L67" s="97" t="str">
        <f>+'Plan de Adquisiciones '!L96</f>
        <v>Edwin Ferley Ortíz</v>
      </c>
      <c r="M67" s="97" t="s">
        <v>503</v>
      </c>
      <c r="N67" s="97" t="str">
        <f>+'Plan de Adquisiciones '!N96</f>
        <v>Junio</v>
      </c>
      <c r="O67" s="97"/>
      <c r="P67" s="98">
        <f>+'Plan de Adquisiciones '!O96</f>
        <v>5</v>
      </c>
      <c r="Q67" s="97" t="str">
        <f>+'Plan de Adquisiciones '!P96</f>
        <v xml:space="preserve"> Contratación Directa</v>
      </c>
      <c r="R67" s="97" t="str">
        <f>+'Plan de Adquisiciones '!Q96</f>
        <v>Directa</v>
      </c>
      <c r="S67" s="107">
        <f>+'Plan de Adquisiciones '!R96</f>
        <v>33364924</v>
      </c>
      <c r="T67" s="107">
        <f>+'Plan de Adquisiciones '!S96</f>
        <v>125650016</v>
      </c>
      <c r="U67" s="107">
        <f>+'Plan de Adquisiciones '!T96</f>
        <v>159014940</v>
      </c>
      <c r="V67" s="98">
        <f>+'Plan de Adquisiciones '!U96</f>
        <v>0</v>
      </c>
      <c r="W67" s="107">
        <f>+'Plan de Adquisiciones '!V96</f>
        <v>33364924</v>
      </c>
      <c r="X67" s="107">
        <f>+'Plan de Adquisiciones '!W96</f>
        <v>125650016</v>
      </c>
      <c r="Y67" s="107">
        <f>+'Plan de Adquisiciones '!X96</f>
        <v>159014940</v>
      </c>
      <c r="Z67" s="106"/>
      <c r="AA67" s="106"/>
      <c r="AB67" s="106"/>
      <c r="AC67" s="97">
        <f>+'Plan de Adquisiciones '!Z96</f>
        <v>94</v>
      </c>
      <c r="AD67" s="108" t="str">
        <f>+'Plan de Adquisiciones '!AA96</f>
        <v>CORPORACION MIXTA PARA LA INVESTIGACION Y DESARROLLO DE LA EDUCACION - CORPOEDUCACION</v>
      </c>
    </row>
    <row r="68" spans="1:30" ht="135" x14ac:dyDescent="0.25">
      <c r="A68" s="60" t="s">
        <v>163</v>
      </c>
      <c r="B68" s="62" t="s">
        <v>148</v>
      </c>
      <c r="C68" s="77" t="s">
        <v>131</v>
      </c>
      <c r="D68" s="59" t="s">
        <v>44</v>
      </c>
      <c r="E68" s="59" t="s">
        <v>44</v>
      </c>
      <c r="F68" s="97">
        <f>+'Plan de Adquisiciones '!F99</f>
        <v>0</v>
      </c>
      <c r="G68" s="98">
        <f>+'Plan de Adquisiciones '!G99</f>
        <v>279</v>
      </c>
      <c r="H68" s="97">
        <f>+'Plan de Adquisiciones '!H99</f>
        <v>0</v>
      </c>
      <c r="I68" s="97" t="str">
        <f>+'Plan de Adquisiciones '!I99</f>
        <v xml:space="preserve">Prestación de servicio profesionales para desarrollar una estrategia de comunicación y divulgación de las acciones que realizan docentes investigadores, innovadores y redes pedagógicas que propicien intercambio de saberes en la ciudad de Bogotá, en el marco del Convenio 1452 de 2017 en su componente 4.
</v>
      </c>
      <c r="J68" s="97">
        <f>+'Plan de Adquisiciones '!J99</f>
        <v>80111621</v>
      </c>
      <c r="K68" s="97" t="str">
        <f>+'Plan de Adquisiciones '!K99</f>
        <v>Profesional 222-05</v>
      </c>
      <c r="L68" s="97" t="str">
        <f>+'Plan de Adquisiciones '!L99</f>
        <v>Amanda Cortés</v>
      </c>
      <c r="M68" s="97" t="s">
        <v>503</v>
      </c>
      <c r="N68" s="97" t="str">
        <f>+'Plan de Adquisiciones '!N99</f>
        <v>Junio</v>
      </c>
      <c r="O68" s="97"/>
      <c r="P68" s="98">
        <f>+'Plan de Adquisiciones '!O99</f>
        <v>6</v>
      </c>
      <c r="Q68" s="97" t="str">
        <f>+'Plan de Adquisiciones '!P99</f>
        <v xml:space="preserve"> Contratación Directa</v>
      </c>
      <c r="R68" s="97" t="str">
        <f>+'Plan de Adquisiciones '!Q99</f>
        <v>Directa</v>
      </c>
      <c r="S68" s="107">
        <f>+'Plan de Adquisiciones '!R99</f>
        <v>0</v>
      </c>
      <c r="T68" s="107">
        <f>+'Plan de Adquisiciones '!S99</f>
        <v>202000000</v>
      </c>
      <c r="U68" s="107">
        <f>+'Plan de Adquisiciones '!T99</f>
        <v>202000000</v>
      </c>
      <c r="V68" s="98">
        <f>+'Plan de Adquisiciones '!U99</f>
        <v>0</v>
      </c>
      <c r="W68" s="107">
        <f>+'Plan de Adquisiciones '!V99</f>
        <v>0</v>
      </c>
      <c r="X68" s="107">
        <f>+'Plan de Adquisiciones '!W99</f>
        <v>202000000</v>
      </c>
      <c r="Y68" s="107">
        <f>+'Plan de Adquisiciones '!X99</f>
        <v>202000000</v>
      </c>
      <c r="Z68" s="106"/>
      <c r="AA68" s="106"/>
      <c r="AB68" s="106"/>
      <c r="AC68" s="97">
        <f>+'Plan de Adquisiciones '!Z99</f>
        <v>95</v>
      </c>
      <c r="AD68" s="108" t="str">
        <f>+'Plan de Adquisiciones '!AA99</f>
        <v>UNIVERSIDAD EAFIT</v>
      </c>
    </row>
    <row r="69" spans="1:30" ht="78.75" x14ac:dyDescent="0.25">
      <c r="A69" s="60" t="s">
        <v>163</v>
      </c>
      <c r="B69" s="62" t="s">
        <v>148</v>
      </c>
      <c r="C69" s="77" t="s">
        <v>131</v>
      </c>
      <c r="D69" s="59" t="s">
        <v>44</v>
      </c>
      <c r="E69" s="59" t="s">
        <v>44</v>
      </c>
      <c r="F69" s="97">
        <f>+'Plan de Adquisiciones '!F100</f>
        <v>0</v>
      </c>
      <c r="G69" s="98">
        <f>+'Plan de Adquisiciones '!G100</f>
        <v>280</v>
      </c>
      <c r="H69" s="97">
        <f>+'Plan de Adquisiciones '!H100</f>
        <v>0</v>
      </c>
      <c r="I69" s="97" t="str">
        <f>+'Plan de Adquisiciones '!I100</f>
        <v>Prestación de servicios profesionales para fortalecer e impulsar la Red de innovación del Distrito a través del apoyo a las redes pedagógicas, en el marco del Convenio 1452 de 2017 en su componente 4.</v>
      </c>
      <c r="J69" s="97">
        <f>+'Plan de Adquisiciones '!J100</f>
        <v>80111621</v>
      </c>
      <c r="K69" s="97" t="str">
        <f>+'Plan de Adquisiciones '!K100</f>
        <v>Profesional 222-05</v>
      </c>
      <c r="L69" s="97" t="str">
        <f>+'Plan de Adquisiciones '!L100</f>
        <v>Amanda Cortés</v>
      </c>
      <c r="M69" s="97" t="s">
        <v>503</v>
      </c>
      <c r="N69" s="97" t="str">
        <f>+'Plan de Adquisiciones '!N100</f>
        <v>Junio</v>
      </c>
      <c r="O69" s="97"/>
      <c r="P69" s="98">
        <f>+'Plan de Adquisiciones '!O100</f>
        <v>6</v>
      </c>
      <c r="Q69" s="97" t="str">
        <f>+'Plan de Adquisiciones '!P100</f>
        <v xml:space="preserve"> Contratación Directa</v>
      </c>
      <c r="R69" s="97" t="str">
        <f>+'Plan de Adquisiciones '!Q100</f>
        <v>Directa</v>
      </c>
      <c r="S69" s="107">
        <f>+'Plan de Adquisiciones '!R100</f>
        <v>0</v>
      </c>
      <c r="T69" s="107">
        <f>+'Plan de Adquisiciones '!S100</f>
        <v>100000000</v>
      </c>
      <c r="U69" s="107">
        <f>+'Plan de Adquisiciones '!T100</f>
        <v>100000000</v>
      </c>
      <c r="V69" s="98">
        <f>+'Plan de Adquisiciones '!U100</f>
        <v>0</v>
      </c>
      <c r="W69" s="107">
        <f>+'Plan de Adquisiciones '!V100</f>
        <v>0</v>
      </c>
      <c r="X69" s="107">
        <f>+'Plan de Adquisiciones '!W100</f>
        <v>100000000</v>
      </c>
      <c r="Y69" s="107">
        <f>+'Plan de Adquisiciones '!X100</f>
        <v>100000000</v>
      </c>
      <c r="Z69" s="106"/>
      <c r="AA69" s="106"/>
      <c r="AB69" s="106"/>
      <c r="AC69" s="97">
        <f>+'Plan de Adquisiciones '!Z100</f>
        <v>96</v>
      </c>
      <c r="AD69" s="108" t="str">
        <f>+'Plan de Adquisiciones '!AA100</f>
        <v>CORPORACIÓN MAGISTERIO</v>
      </c>
    </row>
    <row r="70" spans="1:30" ht="78.75" x14ac:dyDescent="0.25">
      <c r="A70" s="60" t="s">
        <v>163</v>
      </c>
      <c r="B70" s="62" t="s">
        <v>148</v>
      </c>
      <c r="C70" s="77" t="s">
        <v>131</v>
      </c>
      <c r="D70" s="59" t="s">
        <v>44</v>
      </c>
      <c r="E70" s="59" t="s">
        <v>44</v>
      </c>
      <c r="F70" s="97" t="str">
        <f>+'Plan de Adquisiciones '!F103</f>
        <v>Estudio Escuela Curriculo y Pedagogía: Prácticas de Evaluación componente 2</v>
      </c>
      <c r="G70" s="98">
        <f>+'Plan de Adquisiciones '!G103</f>
        <v>224</v>
      </c>
      <c r="H70" s="97">
        <f>+'Plan de Adquisiciones '!H103</f>
        <v>0</v>
      </c>
      <c r="I70" s="97" t="str">
        <f>+'Plan de Adquisiciones '!I103</f>
        <v>Prestación de servicios profesionales para orientar conceptual y metodológicamente el estudio sobre prácticas de evaluación,  en el marco del convenio  1452  de 2017 en su componente 1.</v>
      </c>
      <c r="J70" s="97">
        <f>+'Plan de Adquisiciones '!J103</f>
        <v>80111621</v>
      </c>
      <c r="K70" s="97" t="str">
        <f>+'Plan de Adquisiciones '!K103</f>
        <v xml:space="preserve"> Profesional 222-06.</v>
      </c>
      <c r="L70" s="97" t="str">
        <f>+'Plan de Adquisiciones '!L103</f>
        <v>Luisa Acuña</v>
      </c>
      <c r="M70" s="97" t="s">
        <v>503</v>
      </c>
      <c r="N70" s="97" t="str">
        <f>+'Plan de Adquisiciones '!N84</f>
        <v>Febrero</v>
      </c>
      <c r="O70" s="97"/>
      <c r="P70" s="98">
        <f>+'Plan de Adquisiciones '!O103</f>
        <v>8</v>
      </c>
      <c r="Q70" s="97" t="str">
        <f>+'Plan de Adquisiciones '!P103</f>
        <v xml:space="preserve"> Contratación Directa</v>
      </c>
      <c r="R70" s="97" t="str">
        <f>+'Plan de Adquisiciones '!Q103</f>
        <v>Directa</v>
      </c>
      <c r="S70" s="107">
        <f>+'Plan de Adquisiciones '!R103</f>
        <v>73040000</v>
      </c>
      <c r="T70" s="107">
        <f>+'Plan de Adquisiciones '!S103</f>
        <v>0</v>
      </c>
      <c r="U70" s="107">
        <f>+'Plan de Adquisiciones '!T103</f>
        <v>73040000</v>
      </c>
      <c r="V70" s="98">
        <f>+'Plan de Adquisiciones '!U103</f>
        <v>1</v>
      </c>
      <c r="W70" s="107">
        <f>+'Plan de Adquisiciones '!V103</f>
        <v>73040000</v>
      </c>
      <c r="X70" s="107">
        <f>+'Plan de Adquisiciones '!W103</f>
        <v>0</v>
      </c>
      <c r="Y70" s="107">
        <f>+'Plan de Adquisiciones '!X103</f>
        <v>73040000</v>
      </c>
      <c r="Z70" s="106">
        <f>+'Plan de Adquisiciones '!Y103</f>
        <v>42844</v>
      </c>
      <c r="AA70" s="106" t="s">
        <v>63</v>
      </c>
      <c r="AB70" s="106"/>
      <c r="AC70" s="97">
        <f>+'Plan de Adquisiciones '!Z103</f>
        <v>49</v>
      </c>
      <c r="AD70" s="108" t="str">
        <f>+'Plan de Adquisiciones '!AA103</f>
        <v>LUIS ALFONSO TAMAYO VALENCIA</v>
      </c>
    </row>
    <row r="71" spans="1:30" ht="101.25" x14ac:dyDescent="0.25">
      <c r="A71" s="60" t="s">
        <v>163</v>
      </c>
      <c r="B71" s="62" t="s">
        <v>148</v>
      </c>
      <c r="C71" s="77" t="s">
        <v>131</v>
      </c>
      <c r="D71" s="59" t="s">
        <v>44</v>
      </c>
      <c r="E71" s="59" t="s">
        <v>44</v>
      </c>
      <c r="F71" s="97">
        <f>+'Plan de Adquisiciones '!F104</f>
        <v>0</v>
      </c>
      <c r="G71" s="98">
        <f>+'Plan de Adquisiciones '!G104</f>
        <v>225</v>
      </c>
      <c r="H71" s="97">
        <f>+'Plan de Adquisiciones '!H104</f>
        <v>0</v>
      </c>
      <c r="I71" s="97" t="str">
        <f>+'Plan de Adquisiciones '!I104</f>
        <v>Prestación de servicios profesionales para realizar los lineamientos conceptuales y metodológicos  para  la creación de una RED de Instituciones por la Evaluación en el Distrito Capital, en el marco del Convenio  1452   de 2017 en su componente 1</v>
      </c>
      <c r="J71" s="97">
        <f>+'Plan de Adquisiciones '!J104</f>
        <v>80111621</v>
      </c>
      <c r="K71" s="97" t="str">
        <f>+'Plan de Adquisiciones '!K104</f>
        <v xml:space="preserve"> Profesional 222-06.</v>
      </c>
      <c r="L71" s="97" t="str">
        <f>+'Plan de Adquisiciones '!L104</f>
        <v>Luisa Acuña</v>
      </c>
      <c r="M71" s="97" t="s">
        <v>503</v>
      </c>
      <c r="N71" s="97" t="str">
        <f>+'Plan de Adquisiciones '!N85</f>
        <v>Febrero</v>
      </c>
      <c r="O71" s="97"/>
      <c r="P71" s="98">
        <f>+'Plan de Adquisiciones '!O104</f>
        <v>8</v>
      </c>
      <c r="Q71" s="97" t="str">
        <f>+'Plan de Adquisiciones '!P104</f>
        <v xml:space="preserve"> Contratación Directa</v>
      </c>
      <c r="R71" s="97" t="str">
        <f>+'Plan de Adquisiciones '!Q104</f>
        <v>Directa</v>
      </c>
      <c r="S71" s="107">
        <f>+'Plan de Adquisiciones '!R104</f>
        <v>26960000</v>
      </c>
      <c r="T71" s="107">
        <f>+'Plan de Adquisiciones '!S104</f>
        <v>46080000</v>
      </c>
      <c r="U71" s="107">
        <f>+'Plan de Adquisiciones '!T104</f>
        <v>73040000</v>
      </c>
      <c r="V71" s="98">
        <f>+'Plan de Adquisiciones '!U104</f>
        <v>1</v>
      </c>
      <c r="W71" s="107">
        <f>+'Plan de Adquisiciones '!V104</f>
        <v>26960000</v>
      </c>
      <c r="X71" s="107">
        <f>+'Plan de Adquisiciones '!W104</f>
        <v>46080000</v>
      </c>
      <c r="Y71" s="107">
        <f>+'Plan de Adquisiciones '!X104</f>
        <v>73040000</v>
      </c>
      <c r="Z71" s="106">
        <f>+'Plan de Adquisiciones '!Y104</f>
        <v>42854</v>
      </c>
      <c r="AA71" s="106" t="s">
        <v>63</v>
      </c>
      <c r="AB71" s="106"/>
      <c r="AC71" s="97">
        <f>+'Plan de Adquisiciones '!Z104</f>
        <v>69</v>
      </c>
      <c r="AD71" s="108" t="str">
        <f>+'Plan de Adquisiciones '!AA104</f>
        <v>EDWIN DUQUE OLIVA</v>
      </c>
    </row>
    <row r="72" spans="1:30" ht="180" x14ac:dyDescent="0.25">
      <c r="A72" s="60" t="s">
        <v>163</v>
      </c>
      <c r="B72" s="62" t="s">
        <v>148</v>
      </c>
      <c r="C72" s="77" t="s">
        <v>131</v>
      </c>
      <c r="D72" s="59" t="s">
        <v>44</v>
      </c>
      <c r="E72" s="59" t="s">
        <v>44</v>
      </c>
      <c r="F72" s="97">
        <f>+'Plan de Adquisiciones '!F105</f>
        <v>0</v>
      </c>
      <c r="G72" s="98">
        <f>+'Plan de Adquisiciones '!G105</f>
        <v>226</v>
      </c>
      <c r="H72" s="97">
        <f>+'Plan de Adquisiciones '!H105</f>
        <v>0</v>
      </c>
      <c r="I72" s="97" t="str">
        <f>+'Plan de Adquisiciones '!I105</f>
        <v>Prestación de servicios profesionales para apoyar académicamente  la supervisión y orientar conceptual y metodológicamente los encuentros, talleres y seminarios  entre entidades, instituciones, directivos y docentes participantes en el estudio sobre prácticas significativas de evaluación en las IED, así como la clasificación y consolidación de productos derivados del estudio, en el marco del Convenio  1452   de 2017 en su componente 1.</v>
      </c>
      <c r="J72" s="97">
        <f>+'Plan de Adquisiciones '!J105</f>
        <v>80111621</v>
      </c>
      <c r="K72" s="97" t="str">
        <f>+'Plan de Adquisiciones '!K105</f>
        <v xml:space="preserve"> Profesional 222-06.</v>
      </c>
      <c r="L72" s="97" t="str">
        <f>+'Plan de Adquisiciones '!L105</f>
        <v>Luisa Acuña</v>
      </c>
      <c r="M72" s="97" t="s">
        <v>503</v>
      </c>
      <c r="N72" s="97" t="str">
        <f>+'Plan de Adquisiciones '!N86</f>
        <v>Febrero</v>
      </c>
      <c r="O72" s="97"/>
      <c r="P72" s="98">
        <f>+'Plan de Adquisiciones '!O105</f>
        <v>8</v>
      </c>
      <c r="Q72" s="97" t="str">
        <f>+'Plan de Adquisiciones '!P105</f>
        <v xml:space="preserve"> Contratación Directa</v>
      </c>
      <c r="R72" s="97" t="str">
        <f>+'Plan de Adquisiciones '!Q105</f>
        <v>Directa</v>
      </c>
      <c r="S72" s="107">
        <f>+'Plan de Adquisiciones '!R105</f>
        <v>0</v>
      </c>
      <c r="T72" s="107">
        <f>+'Plan de Adquisiciones '!S105</f>
        <v>73040000</v>
      </c>
      <c r="U72" s="107">
        <f>+'Plan de Adquisiciones '!T105</f>
        <v>73040000</v>
      </c>
      <c r="V72" s="98">
        <f>+'Plan de Adquisiciones '!U105</f>
        <v>1</v>
      </c>
      <c r="W72" s="107">
        <f>+'Plan de Adquisiciones '!V105</f>
        <v>0</v>
      </c>
      <c r="X72" s="107">
        <f>+'Plan de Adquisiciones '!W105</f>
        <v>73040000</v>
      </c>
      <c r="Y72" s="107">
        <f>+'Plan de Adquisiciones '!X105</f>
        <v>73040000</v>
      </c>
      <c r="Z72" s="106">
        <f>+'Plan de Adquisiciones '!Y105</f>
        <v>42844</v>
      </c>
      <c r="AA72" s="106" t="s">
        <v>63</v>
      </c>
      <c r="AB72" s="106"/>
      <c r="AC72" s="97">
        <f>+'Plan de Adquisiciones '!Z105</f>
        <v>51</v>
      </c>
      <c r="AD72" s="108" t="str">
        <f>+'Plan de Adquisiciones '!AA105</f>
        <v>LICED ANGELICA ZEA SILVA</v>
      </c>
    </row>
    <row r="73" spans="1:30" ht="90" x14ac:dyDescent="0.25">
      <c r="A73" s="60" t="s">
        <v>163</v>
      </c>
      <c r="B73" s="62" t="s">
        <v>148</v>
      </c>
      <c r="C73" s="77" t="s">
        <v>131</v>
      </c>
      <c r="D73" s="59" t="s">
        <v>44</v>
      </c>
      <c r="E73" s="59" t="s">
        <v>44</v>
      </c>
      <c r="F73" s="97">
        <f>+'Plan de Adquisiciones '!F106</f>
        <v>0</v>
      </c>
      <c r="G73" s="98">
        <f>+'Plan de Adquisiciones '!G106</f>
        <v>257</v>
      </c>
      <c r="H73" s="97">
        <f>+'Plan de Adquisiciones '!H106</f>
        <v>0</v>
      </c>
      <c r="I73" s="97" t="str">
        <f>+'Plan de Adquisiciones '!I106</f>
        <v>Prestación de servicios profesionales para prestar el apoyo tecnológico y de comunicaciones del  estudio sobre  prácticas de evaluación  en el distrito capital en el marco  del Convenio  1452   de 2017 en su componente 1.</v>
      </c>
      <c r="J73" s="97">
        <f>+'Plan de Adquisiciones '!J106</f>
        <v>80111621</v>
      </c>
      <c r="K73" s="97" t="str">
        <f>+'Plan de Adquisiciones '!K106</f>
        <v xml:space="preserve"> Profesional 222-06.</v>
      </c>
      <c r="L73" s="97" t="str">
        <f>+'Plan de Adquisiciones '!L106</f>
        <v>Luisa Acuña</v>
      </c>
      <c r="M73" s="97" t="s">
        <v>503</v>
      </c>
      <c r="N73" s="97" t="str">
        <f>+'Plan de Adquisiciones '!N87</f>
        <v>Mayo</v>
      </c>
      <c r="O73" s="97"/>
      <c r="P73" s="98">
        <f>+'Plan de Adquisiciones '!O106</f>
        <v>8</v>
      </c>
      <c r="Q73" s="97" t="str">
        <f>+'Plan de Adquisiciones '!P106</f>
        <v xml:space="preserve"> Contratación Directa</v>
      </c>
      <c r="R73" s="97" t="str">
        <f>+'Plan de Adquisiciones '!Q106</f>
        <v>Directa</v>
      </c>
      <c r="S73" s="107">
        <f>+'Plan de Adquisiciones '!R106</f>
        <v>0</v>
      </c>
      <c r="T73" s="107">
        <f>+'Plan de Adquisiciones '!S106</f>
        <v>29508680</v>
      </c>
      <c r="U73" s="107">
        <f>+'Plan de Adquisiciones '!T106</f>
        <v>29508680</v>
      </c>
      <c r="V73" s="98">
        <f>+'Plan de Adquisiciones '!U106</f>
        <v>1</v>
      </c>
      <c r="W73" s="107">
        <f>+'Plan de Adquisiciones '!V106</f>
        <v>0</v>
      </c>
      <c r="X73" s="107">
        <f>+'Plan de Adquisiciones '!W106</f>
        <v>29508680</v>
      </c>
      <c r="Y73" s="107">
        <f>+'Plan de Adquisiciones '!X106</f>
        <v>29508680</v>
      </c>
      <c r="Z73" s="106">
        <f>+'Plan de Adquisiciones '!Y106</f>
        <v>42857</v>
      </c>
      <c r="AA73" s="106" t="s">
        <v>56</v>
      </c>
      <c r="AB73" s="106"/>
      <c r="AC73" s="97">
        <f>+'Plan de Adquisiciones '!Z106</f>
        <v>70</v>
      </c>
      <c r="AD73" s="108" t="str">
        <f>+'Plan de Adquisiciones '!AA106</f>
        <v>OSCAR MUNAR SUAREZ</v>
      </c>
    </row>
    <row r="74" spans="1:30" ht="135" x14ac:dyDescent="0.25">
      <c r="A74" s="60" t="s">
        <v>163</v>
      </c>
      <c r="B74" s="62" t="s">
        <v>148</v>
      </c>
      <c r="C74" s="77" t="s">
        <v>131</v>
      </c>
      <c r="D74" s="59" t="s">
        <v>44</v>
      </c>
      <c r="E74" s="59" t="s">
        <v>44</v>
      </c>
      <c r="F74" s="97">
        <f>+'Plan de Adquisiciones '!F107</f>
        <v>0</v>
      </c>
      <c r="G74" s="98">
        <f>+'Plan de Adquisiciones '!G107</f>
        <v>228</v>
      </c>
      <c r="H74" s="97">
        <f>+'Plan de Adquisiciones '!H107</f>
        <v>0</v>
      </c>
      <c r="I74" s="97" t="str">
        <f>+'Plan de Adquisiciones '!I107</f>
        <v>Prestación de servicios profesionales para realizar la caracterización, sistematización y análisis de buenas prácticas de evaluación, así como el levantamiento de información para la línea de base sobre prácticas de evaluación en todas las instituciones oficiales del Distrito Capital, en el marco del Convenio 1452   de 2017 en su componente 1.</v>
      </c>
      <c r="J74" s="97">
        <f>+'Plan de Adquisiciones '!J107</f>
        <v>80111621</v>
      </c>
      <c r="K74" s="97" t="str">
        <f>+'Plan de Adquisiciones '!K107</f>
        <v xml:space="preserve">Asesor 105-02 </v>
      </c>
      <c r="L74" s="97" t="str">
        <f>+'Plan de Adquisiciones '!L107</f>
        <v>Edwin Ferley Ortíz</v>
      </c>
      <c r="M74" s="97" t="s">
        <v>503</v>
      </c>
      <c r="N74" s="97" t="str">
        <f>+'Plan de Adquisiciones '!N107</f>
        <v>Mayo</v>
      </c>
      <c r="O74" s="97"/>
      <c r="P74" s="98">
        <f>+'Plan de Adquisiciones '!O107</f>
        <v>7</v>
      </c>
      <c r="Q74" s="97" t="str">
        <f>+'Plan de Adquisiciones '!P107</f>
        <v xml:space="preserve"> Contratación Directa</v>
      </c>
      <c r="R74" s="97" t="str">
        <f>+'Plan de Adquisiciones '!Q107</f>
        <v>Directa</v>
      </c>
      <c r="S74" s="107">
        <f>+'Plan de Adquisiciones '!R107</f>
        <v>0</v>
      </c>
      <c r="T74" s="107">
        <f>+'Plan de Adquisiciones '!S107</f>
        <v>372477405</v>
      </c>
      <c r="U74" s="107">
        <f>+'Plan de Adquisiciones '!T107</f>
        <v>372477405</v>
      </c>
      <c r="V74" s="98">
        <f>+'Plan de Adquisiciones '!U107</f>
        <v>1</v>
      </c>
      <c r="W74" s="107">
        <f>+'Plan de Adquisiciones '!V107</f>
        <v>0</v>
      </c>
      <c r="X74" s="107">
        <f>+'Plan de Adquisiciones '!W107</f>
        <v>372477405</v>
      </c>
      <c r="Y74" s="107">
        <f>+'Plan de Adquisiciones '!X107</f>
        <v>372477405</v>
      </c>
      <c r="Z74" s="106">
        <f>+'Plan de Adquisiciones '!Y107</f>
        <v>42860</v>
      </c>
      <c r="AA74" s="106" t="s">
        <v>56</v>
      </c>
      <c r="AB74" s="106"/>
      <c r="AC74" s="97">
        <f>+'Plan de Adquisiciones '!Z107</f>
        <v>73</v>
      </c>
      <c r="AD74" s="108" t="str">
        <f>+'Plan de Adquisiciones '!AA107</f>
        <v>FUNDACION UNIVERSITARIA CAFAM</v>
      </c>
    </row>
    <row r="75" spans="1:30" ht="90" x14ac:dyDescent="0.25">
      <c r="A75" s="60" t="s">
        <v>163</v>
      </c>
      <c r="B75" s="62" t="s">
        <v>148</v>
      </c>
      <c r="C75" s="77" t="s">
        <v>131</v>
      </c>
      <c r="D75" s="59" t="s">
        <v>44</v>
      </c>
      <c r="E75" s="59" t="s">
        <v>44</v>
      </c>
      <c r="F75" s="97">
        <f>+'Plan de Adquisiciones '!F108</f>
        <v>0</v>
      </c>
      <c r="G75" s="98">
        <f>+'Plan de Adquisiciones '!G108</f>
        <v>229</v>
      </c>
      <c r="H75" s="97">
        <f>+'Plan de Adquisiciones '!H108</f>
        <v>0</v>
      </c>
      <c r="I75" s="97" t="str">
        <f>+'Plan de Adquisiciones '!I108</f>
        <v>Prestación de servicios profesionales para  realizar el apoyo administrativo y de asistencia académica para el estudio sobre prácticas evaluativas, en el marco del Convenio  1452 de 2017 en su componente 1.</v>
      </c>
      <c r="J75" s="97">
        <f>+'Plan de Adquisiciones '!J108</f>
        <v>80111621</v>
      </c>
      <c r="K75" s="97" t="str">
        <f>+'Plan de Adquisiciones '!K108</f>
        <v xml:space="preserve"> Profesional 222-06.</v>
      </c>
      <c r="L75" s="97" t="str">
        <f>+'Plan de Adquisiciones '!L108</f>
        <v>Luisa Acuña</v>
      </c>
      <c r="M75" s="97" t="s">
        <v>503</v>
      </c>
      <c r="N75" s="97" t="str">
        <f>+'Plan de Adquisiciones '!N89</f>
        <v>Abril</v>
      </c>
      <c r="O75" s="97"/>
      <c r="P75" s="98">
        <f>+'Plan de Adquisiciones '!O108</f>
        <v>8</v>
      </c>
      <c r="Q75" s="97" t="str">
        <f>+'Plan de Adquisiciones '!P108</f>
        <v xml:space="preserve"> Contratación Directa</v>
      </c>
      <c r="R75" s="97" t="str">
        <f>+'Plan de Adquisiciones '!Q108</f>
        <v>Directa</v>
      </c>
      <c r="S75" s="107">
        <f>+'Plan de Adquisiciones '!R108</f>
        <v>0</v>
      </c>
      <c r="T75" s="107">
        <f>+'Plan de Adquisiciones '!S108</f>
        <v>28893915</v>
      </c>
      <c r="U75" s="107">
        <f>+'Plan de Adquisiciones '!T108</f>
        <v>28893915</v>
      </c>
      <c r="V75" s="98">
        <f>+'Plan de Adquisiciones '!U108</f>
        <v>1</v>
      </c>
      <c r="W75" s="107">
        <f>+'Plan de Adquisiciones '!V108</f>
        <v>0</v>
      </c>
      <c r="X75" s="107">
        <f>+'Plan de Adquisiciones '!W108</f>
        <v>28893915</v>
      </c>
      <c r="Y75" s="107">
        <f>+'Plan de Adquisiciones '!X108</f>
        <v>28893915</v>
      </c>
      <c r="Z75" s="106">
        <f>+'Plan de Adquisiciones '!Y108</f>
        <v>42844</v>
      </c>
      <c r="AA75" s="106" t="s">
        <v>63</v>
      </c>
      <c r="AB75" s="106"/>
      <c r="AC75" s="97">
        <f>+'Plan de Adquisiciones '!Z108</f>
        <v>48</v>
      </c>
      <c r="AD75" s="108" t="str">
        <f>+'Plan de Adquisiciones '!AA108</f>
        <v>ANA MARIA CARO DIAZ</v>
      </c>
    </row>
    <row r="76" spans="1:30" ht="42.75" customHeight="1" x14ac:dyDescent="0.25">
      <c r="A76" s="60" t="s">
        <v>163</v>
      </c>
      <c r="B76" s="75" t="s">
        <v>148</v>
      </c>
      <c r="C76" s="76" t="s">
        <v>131</v>
      </c>
      <c r="D76" s="59" t="s">
        <v>44</v>
      </c>
      <c r="E76" s="59" t="s">
        <v>44</v>
      </c>
      <c r="F76" s="97" t="str">
        <f>+'Plan de Adquisiciones '!F110</f>
        <v>Estudio Cualificación Docente : Transmedia Educativa</v>
      </c>
      <c r="G76" s="98">
        <f>+'Plan de Adquisiciones '!G110</f>
        <v>265</v>
      </c>
      <c r="H76" s="97">
        <f>+'Plan de Adquisiciones '!H110</f>
        <v>0</v>
      </c>
      <c r="I76" s="97" t="str">
        <f>+'Plan de Adquisiciones '!I110</f>
        <v>Prestación de servicios profesionales para desarrollar un proceso de investigación y formación, con el fin de cualificar el uso y apropiación de los resultados de 5 experiencias pedagógicas, investigaciones o innovaciones educativas, en el Distrito Capital, mediante la producción de narrativas con el fin de divulgarlas de manera innovadora (transmedia) de forma que impacten de manera más eficaz a sus comunidades académicas.</v>
      </c>
      <c r="J76" s="97">
        <f>+'Plan de Adquisiciones '!J110</f>
        <v>80111621</v>
      </c>
      <c r="K76" s="97" t="str">
        <f>+'Plan de Adquisiciones '!K110</f>
        <v xml:space="preserve">Asesor 105-02 </v>
      </c>
      <c r="L76" s="97" t="str">
        <f>+'Plan de Adquisiciones '!L110</f>
        <v>Edwin Ferley Ortíz</v>
      </c>
      <c r="M76" s="97" t="s">
        <v>503</v>
      </c>
      <c r="N76" s="97" t="str">
        <f>+'Plan de Adquisiciones '!N110</f>
        <v>Mayo</v>
      </c>
      <c r="O76" s="97"/>
      <c r="P76" s="98">
        <f>+'Plan de Adquisiciones '!O110</f>
        <v>7</v>
      </c>
      <c r="Q76" s="97" t="str">
        <f>+'Plan de Adquisiciones '!P110</f>
        <v xml:space="preserve"> Contratación Directa</v>
      </c>
      <c r="R76" s="97" t="str">
        <f>+'Plan de Adquisiciones '!Q110</f>
        <v>Directa</v>
      </c>
      <c r="S76" s="107">
        <f>+'Plan de Adquisiciones '!R110</f>
        <v>167471012</v>
      </c>
      <c r="T76" s="107">
        <f>+'Plan de Adquisiciones '!S110</f>
        <v>0</v>
      </c>
      <c r="U76" s="107">
        <f>+'Plan de Adquisiciones '!T110</f>
        <v>167471012</v>
      </c>
      <c r="V76" s="98">
        <f>+'Plan de Adquisiciones '!U110</f>
        <v>0</v>
      </c>
      <c r="W76" s="107">
        <f>+'Plan de Adquisiciones '!V110</f>
        <v>167471012</v>
      </c>
      <c r="X76" s="107">
        <f>+'Plan de Adquisiciones '!W110</f>
        <v>0</v>
      </c>
      <c r="Y76" s="107">
        <f>+'Plan de Adquisiciones '!X110</f>
        <v>167471012</v>
      </c>
      <c r="Z76" s="106">
        <f>+'Plan de Adquisiciones '!Y110</f>
        <v>42870</v>
      </c>
      <c r="AA76" s="106" t="s">
        <v>56</v>
      </c>
      <c r="AB76" s="106"/>
      <c r="AC76" s="97">
        <f>+'Plan de Adquisiciones '!Z110</f>
        <v>81</v>
      </c>
      <c r="AD76" s="108" t="str">
        <f>+'Plan de Adquisiciones '!AA110</f>
        <v>CORPORACION UNIVERSITARIA MINUTO DE DIOS</v>
      </c>
    </row>
    <row r="77" spans="1:30" ht="101.25" x14ac:dyDescent="0.25">
      <c r="A77" s="75" t="s">
        <v>171</v>
      </c>
      <c r="B77" s="75" t="s">
        <v>149</v>
      </c>
      <c r="C77" s="75" t="s">
        <v>233</v>
      </c>
      <c r="D77" s="78" t="s">
        <v>153</v>
      </c>
      <c r="E77" s="79" t="s">
        <v>20</v>
      </c>
      <c r="F77" s="97" t="str">
        <f>+'Plan de Adquisiciones '!F112</f>
        <v xml:space="preserve">Estudio de Cualificación Docente: Formulación de la estrategia de desarrollo personal de los docentes – Ser Maestro. </v>
      </c>
      <c r="G77" s="98">
        <f>+'Plan de Adquisiciones '!G112</f>
        <v>239</v>
      </c>
      <c r="H77" s="97">
        <f>+'Plan de Adquisiciones '!H112</f>
        <v>0</v>
      </c>
      <c r="I77" s="97" t="str">
        <f>+'Plan de Adquisiciones '!I112</f>
        <v>Prestación de servicios profesionales para  apoyar la elaboración  de los referentes conceptuales y metodológicos de una estrategia para el desarrollo personal de los docentes, en el marco del Convenio 1452 de 2017 en su componente 4.</v>
      </c>
      <c r="J77" s="97">
        <f>+'Plan de Adquisiciones '!J112</f>
        <v>80111621</v>
      </c>
      <c r="K77" s="97" t="str">
        <f>+'Plan de Adquisiciones '!K112</f>
        <v>Profesional 222-07</v>
      </c>
      <c r="L77" s="97" t="str">
        <f>+'Plan de Adquisiciones '!L112</f>
        <v>Jorge Palacio</v>
      </c>
      <c r="M77" s="97" t="s">
        <v>503</v>
      </c>
      <c r="N77" s="97" t="str">
        <f>+'Plan de Adquisiciones '!N112</f>
        <v>Mayo</v>
      </c>
      <c r="O77" s="97"/>
      <c r="P77" s="98">
        <f>+'Plan de Adquisiciones '!O112</f>
        <v>6</v>
      </c>
      <c r="Q77" s="97" t="str">
        <f>+'Plan de Adquisiciones '!P112</f>
        <v xml:space="preserve"> Contratación Directa</v>
      </c>
      <c r="R77" s="97" t="str">
        <f>+'Plan de Adquisiciones '!Q112</f>
        <v>Directa</v>
      </c>
      <c r="S77" s="107">
        <f>+'Plan de Adquisiciones '!R112</f>
        <v>0</v>
      </c>
      <c r="T77" s="107">
        <f>+'Plan de Adquisiciones '!S112</f>
        <v>39836718</v>
      </c>
      <c r="U77" s="107">
        <f>+'Plan de Adquisiciones '!T112</f>
        <v>39836718</v>
      </c>
      <c r="V77" s="98">
        <f>+'Plan de Adquisiciones '!U112</f>
        <v>1</v>
      </c>
      <c r="W77" s="107">
        <f>+'Plan de Adquisiciones '!V112</f>
        <v>0</v>
      </c>
      <c r="X77" s="107">
        <f>+'Plan de Adquisiciones '!W112</f>
        <v>39836718</v>
      </c>
      <c r="Y77" s="107">
        <f>+'Plan de Adquisiciones '!X112</f>
        <v>39836718</v>
      </c>
      <c r="Z77" s="106">
        <f>+'Plan de Adquisiciones '!Y112</f>
        <v>42846</v>
      </c>
      <c r="AA77" s="106" t="s">
        <v>63</v>
      </c>
      <c r="AB77" s="106"/>
      <c r="AC77" s="97">
        <f>+'Plan de Adquisiciones '!Z112</f>
        <v>55</v>
      </c>
      <c r="AD77" s="108" t="str">
        <f>+'Plan de Adquisiciones '!AA112</f>
        <v>ALBERTO AYALA MORANTE</v>
      </c>
    </row>
    <row r="78" spans="1:30" ht="40.5" customHeight="1" x14ac:dyDescent="0.25">
      <c r="A78" s="75" t="s">
        <v>171</v>
      </c>
      <c r="B78" s="75" t="s">
        <v>149</v>
      </c>
      <c r="C78" s="75" t="s">
        <v>233</v>
      </c>
      <c r="D78" s="78" t="s">
        <v>153</v>
      </c>
      <c r="E78" s="79" t="s">
        <v>20</v>
      </c>
      <c r="F78" s="97">
        <f>+'Plan de Adquisiciones '!F113</f>
        <v>0</v>
      </c>
      <c r="G78" s="98">
        <f>+'Plan de Adquisiciones '!G113</f>
        <v>240</v>
      </c>
      <c r="H78" s="97">
        <f>+'Plan de Adquisiciones '!H113</f>
        <v>0</v>
      </c>
      <c r="I78" s="97" t="str">
        <f>+'Plan de Adquisiciones '!I113</f>
        <v>Prestación de servicios profesionales para  apoyar la elaboración  de los referentes pedagógicos y técnicos de una estrategia para el desarrollo personal de los docentes, en el marco del Convenio 1452 de 2017 en su componente 4.</v>
      </c>
      <c r="J78" s="97">
        <f>+'Plan de Adquisiciones '!J113</f>
        <v>80111621</v>
      </c>
      <c r="K78" s="97" t="str">
        <f>+'Plan de Adquisiciones '!K113</f>
        <v>Profesional 222-07</v>
      </c>
      <c r="L78" s="97" t="str">
        <f>+'Plan de Adquisiciones '!L113</f>
        <v>Jorge Palacio</v>
      </c>
      <c r="M78" s="97" t="s">
        <v>503</v>
      </c>
      <c r="N78" s="97" t="str">
        <f>+'Plan de Adquisiciones '!N113</f>
        <v>Mayo</v>
      </c>
      <c r="O78" s="97"/>
      <c r="P78" s="98">
        <f>+'Plan de Adquisiciones '!O113</f>
        <v>6</v>
      </c>
      <c r="Q78" s="97" t="str">
        <f>+'Plan de Adquisiciones '!P113</f>
        <v xml:space="preserve"> Contratación Directa</v>
      </c>
      <c r="R78" s="97" t="str">
        <f>+'Plan de Adquisiciones '!Q113</f>
        <v>Directa</v>
      </c>
      <c r="S78" s="107">
        <f>+'Plan de Adquisiciones '!R113</f>
        <v>0</v>
      </c>
      <c r="T78" s="107">
        <f>+'Plan de Adquisiciones '!S113</f>
        <v>39836718</v>
      </c>
      <c r="U78" s="107">
        <f>+'Plan de Adquisiciones '!T113</f>
        <v>39836718</v>
      </c>
      <c r="V78" s="98">
        <f>+'Plan de Adquisiciones '!U113</f>
        <v>1</v>
      </c>
      <c r="W78" s="107">
        <f>+'Plan de Adquisiciones '!V113</f>
        <v>0</v>
      </c>
      <c r="X78" s="107">
        <f>+'Plan de Adquisiciones '!W113</f>
        <v>39836718</v>
      </c>
      <c r="Y78" s="107">
        <f>+'Plan de Adquisiciones '!X113</f>
        <v>39836718</v>
      </c>
      <c r="Z78" s="106">
        <f>+'Plan de Adquisiciones '!Y113</f>
        <v>42846</v>
      </c>
      <c r="AA78" s="106" t="s">
        <v>63</v>
      </c>
      <c r="AB78" s="106"/>
      <c r="AC78" s="97">
        <f>+'Plan de Adquisiciones '!Z113</f>
        <v>54</v>
      </c>
      <c r="AD78" s="108" t="str">
        <f>+'Plan de Adquisiciones '!AA113</f>
        <v>NELSON MUÑOZ SANCHEZ</v>
      </c>
    </row>
    <row r="79" spans="1:30" ht="146.25" x14ac:dyDescent="0.25">
      <c r="A79" s="75" t="s">
        <v>171</v>
      </c>
      <c r="B79" s="75" t="s">
        <v>149</v>
      </c>
      <c r="C79" s="75" t="s">
        <v>233</v>
      </c>
      <c r="D79" s="78" t="s">
        <v>153</v>
      </c>
      <c r="E79" s="79" t="s">
        <v>20</v>
      </c>
      <c r="F79" s="97">
        <f>+'Plan de Adquisiciones '!F114</f>
        <v>0</v>
      </c>
      <c r="G79" s="98">
        <f>+'Plan de Adquisiciones '!G114</f>
        <v>246</v>
      </c>
      <c r="H79" s="97">
        <f>+'Plan de Adquisiciones '!H114</f>
        <v>0</v>
      </c>
      <c r="I79" s="97" t="str">
        <f>+'Plan de Adquisiciones '!I114</f>
        <v>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v>
      </c>
      <c r="J79" s="97">
        <f>+'Plan de Adquisiciones '!J114</f>
        <v>80111621</v>
      </c>
      <c r="K79" s="97" t="str">
        <f>+'Plan de Adquisiciones '!K114</f>
        <v>Asesor 105-02</v>
      </c>
      <c r="L79" s="97" t="str">
        <f>+'Plan de Adquisiciones '!L114</f>
        <v>María Isabel Ramírez</v>
      </c>
      <c r="M79" s="97" t="s">
        <v>503</v>
      </c>
      <c r="N79" s="97" t="str">
        <f>+'Plan de Adquisiciones '!N114</f>
        <v>Mayo</v>
      </c>
      <c r="O79" s="97"/>
      <c r="P79" s="98">
        <f>+'Plan de Adquisiciones '!O114</f>
        <v>7</v>
      </c>
      <c r="Q79" s="97" t="str">
        <f>+'Plan de Adquisiciones '!P114</f>
        <v xml:space="preserve"> Contratación Directa</v>
      </c>
      <c r="R79" s="97" t="str">
        <f>+'Plan de Adquisiciones '!Q114</f>
        <v>Directa</v>
      </c>
      <c r="S79" s="107">
        <f>+'Plan de Adquisiciones '!R114</f>
        <v>0</v>
      </c>
      <c r="T79" s="107">
        <f>+'Plan de Adquisiciones '!S114</f>
        <v>20326564</v>
      </c>
      <c r="U79" s="107">
        <f>+'Plan de Adquisiciones '!T114</f>
        <v>20326564</v>
      </c>
      <c r="V79" s="98">
        <f>+'Plan de Adquisiciones '!U114</f>
        <v>0</v>
      </c>
      <c r="W79" s="107">
        <f>+'Plan de Adquisiciones '!V114</f>
        <v>0</v>
      </c>
      <c r="X79" s="107">
        <f>+'Plan de Adquisiciones '!W114</f>
        <v>20326564</v>
      </c>
      <c r="Y79" s="107">
        <f>+'Plan de Adquisiciones '!X114</f>
        <v>20326564</v>
      </c>
      <c r="Z79" s="106">
        <v>42871</v>
      </c>
      <c r="AA79" s="106" t="s">
        <v>56</v>
      </c>
      <c r="AB79" s="106"/>
      <c r="AC79" s="106">
        <f>+'Plan de Adquisiciones '!Z114</f>
        <v>42871</v>
      </c>
      <c r="AD79" s="108" t="str">
        <f>+'Plan de Adquisiciones '!AA114</f>
        <v>CORPORACION MIXTA PARA LA INVESTIGACION Y DESARROLLO DE LA EDUCACION - CORPOEDUCACION</v>
      </c>
    </row>
    <row r="80" spans="1:30" ht="45" x14ac:dyDescent="0.25">
      <c r="A80" s="75" t="s">
        <v>171</v>
      </c>
      <c r="B80" s="75" t="s">
        <v>149</v>
      </c>
      <c r="C80" s="75" t="s">
        <v>233</v>
      </c>
      <c r="D80" s="78" t="s">
        <v>153</v>
      </c>
      <c r="E80" s="79" t="s">
        <v>20</v>
      </c>
      <c r="F80" s="97" t="str">
        <f>+'Plan de Adquisiciones '!F117</f>
        <v>Proyectos Editoriales Componente 2</v>
      </c>
      <c r="G80" s="98">
        <f>+'Plan de Adquisiciones '!G117</f>
        <v>139</v>
      </c>
      <c r="H80" s="97">
        <f>+'Plan de Adquisiciones '!H117</f>
        <v>0</v>
      </c>
      <c r="I80" s="97" t="str">
        <f>+'Plan de Adquisiciones '!I117</f>
        <v>Prestación de servicios para realizar la edición, el diseño y la diagramación de la Revista Educación y Ciudad.</v>
      </c>
      <c r="J80" s="97">
        <f>+'Plan de Adquisiciones '!J117</f>
        <v>82111801</v>
      </c>
      <c r="K80" s="97" t="str">
        <f>+'Plan de Adquisiciones '!K117</f>
        <v>Profesional 222-05</v>
      </c>
      <c r="L80" s="97" t="str">
        <f>+'Plan de Adquisiciones '!L117</f>
        <v>Diana Prada</v>
      </c>
      <c r="M80" s="97" t="s">
        <v>503</v>
      </c>
      <c r="N80" s="97" t="str">
        <f>+'Plan de Adquisiciones '!N117</f>
        <v>Febrero</v>
      </c>
      <c r="O80" s="97"/>
      <c r="P80" s="98">
        <f>+'Plan de Adquisiciones '!O117</f>
        <v>10</v>
      </c>
      <c r="Q80" s="97" t="str">
        <f>+'Plan de Adquisiciones '!P117</f>
        <v xml:space="preserve"> Contratación Directa</v>
      </c>
      <c r="R80" s="97" t="str">
        <f>+'Plan de Adquisiciones '!Q117</f>
        <v>Directa</v>
      </c>
      <c r="S80" s="107">
        <f>+'Plan de Adquisiciones '!R117</f>
        <v>25150000</v>
      </c>
      <c r="T80" s="107">
        <f>+'Plan de Adquisiciones '!S117</f>
        <v>0</v>
      </c>
      <c r="U80" s="107">
        <f>+'Plan de Adquisiciones '!T117</f>
        <v>25150000</v>
      </c>
      <c r="V80" s="98">
        <f>+'Plan de Adquisiciones '!U117</f>
        <v>1</v>
      </c>
      <c r="W80" s="107">
        <f>+'Plan de Adquisiciones '!V117</f>
        <v>25150000</v>
      </c>
      <c r="X80" s="107">
        <f>+'Plan de Adquisiciones '!W117</f>
        <v>0</v>
      </c>
      <c r="Y80" s="107">
        <f>+'Plan de Adquisiciones '!X117</f>
        <v>25150000</v>
      </c>
      <c r="Z80" s="106">
        <f>+'Plan de Adquisiciones '!Y117</f>
        <v>42803</v>
      </c>
      <c r="AA80" s="106" t="s">
        <v>87</v>
      </c>
      <c r="AB80" s="106"/>
      <c r="AC80" s="97">
        <f>+'Plan de Adquisiciones '!Z117</f>
        <v>30</v>
      </c>
      <c r="AD80" s="108" t="str">
        <f>+'Plan de Adquisiciones '!AA117</f>
        <v>COOPERATIVA EDITORIAL MAGISTERIO</v>
      </c>
    </row>
    <row r="81" spans="1:30" ht="45" x14ac:dyDescent="0.25">
      <c r="A81" s="75" t="s">
        <v>318</v>
      </c>
      <c r="B81" s="75" t="s">
        <v>149</v>
      </c>
      <c r="C81" s="75" t="s">
        <v>233</v>
      </c>
      <c r="D81" s="78" t="s">
        <v>153</v>
      </c>
      <c r="E81" s="79" t="s">
        <v>20</v>
      </c>
      <c r="F81" s="97">
        <f>+'Plan de Adquisiciones '!F118</f>
        <v>0</v>
      </c>
      <c r="G81" s="98">
        <f>+'Plan de Adquisiciones '!G118</f>
        <v>136</v>
      </c>
      <c r="H81" s="97">
        <f>+'Plan de Adquisiciones '!H118</f>
        <v>0</v>
      </c>
      <c r="I81" s="97" t="str">
        <f>+'Plan de Adquisiciones '!I118</f>
        <v>Prestación de servicios profesionales para realizar la edición del magazín "Aula Urbana".</v>
      </c>
      <c r="J81" s="97">
        <f>+'Plan de Adquisiciones '!J118</f>
        <v>82111801</v>
      </c>
      <c r="K81" s="97" t="str">
        <f>+'Plan de Adquisiciones '!K118</f>
        <v>Profesional 222-05</v>
      </c>
      <c r="L81" s="97" t="str">
        <f>+'Plan de Adquisiciones '!L118</f>
        <v>Diana Prada</v>
      </c>
      <c r="M81" s="97" t="s">
        <v>503</v>
      </c>
      <c r="N81" s="97" t="str">
        <f>+'Plan de Adquisiciones '!N118</f>
        <v>Febrero</v>
      </c>
      <c r="O81" s="97"/>
      <c r="P81" s="98">
        <f>+'Plan de Adquisiciones '!O118</f>
        <v>10</v>
      </c>
      <c r="Q81" s="97" t="str">
        <f>+'Plan de Adquisiciones '!P118</f>
        <v xml:space="preserve"> Contratación Directa</v>
      </c>
      <c r="R81" s="97" t="str">
        <f>+'Plan de Adquisiciones '!Q118</f>
        <v>Directa</v>
      </c>
      <c r="S81" s="107">
        <f>+'Plan de Adquisiciones '!R118</f>
        <v>11035738</v>
      </c>
      <c r="T81" s="107">
        <f>+'Plan de Adquisiciones '!S118</f>
        <v>0</v>
      </c>
      <c r="U81" s="107">
        <f>+'Plan de Adquisiciones '!T118</f>
        <v>11035738</v>
      </c>
      <c r="V81" s="98">
        <f>+'Plan de Adquisiciones '!U118</f>
        <v>1</v>
      </c>
      <c r="W81" s="107">
        <f>+'Plan de Adquisiciones '!V118</f>
        <v>11035738</v>
      </c>
      <c r="X81" s="107">
        <f>+'Plan de Adquisiciones '!W118</f>
        <v>0</v>
      </c>
      <c r="Y81" s="107">
        <f>+'Plan de Adquisiciones '!X118</f>
        <v>11035738</v>
      </c>
      <c r="Z81" s="106">
        <f>+'Plan de Adquisiciones '!Y118</f>
        <v>42794</v>
      </c>
      <c r="AA81" s="106" t="s">
        <v>51</v>
      </c>
      <c r="AB81" s="106"/>
      <c r="AC81" s="97">
        <f>+'Plan de Adquisiciones '!Z118</f>
        <v>12</v>
      </c>
      <c r="AD81" s="108" t="str">
        <f>+'Plan de Adquisiciones '!AA118</f>
        <v>JAVIER VARGAS ACOSTA</v>
      </c>
    </row>
    <row r="82" spans="1:30" ht="45" x14ac:dyDescent="0.25">
      <c r="A82" s="75" t="s">
        <v>171</v>
      </c>
      <c r="B82" s="75" t="s">
        <v>149</v>
      </c>
      <c r="C82" s="75" t="s">
        <v>233</v>
      </c>
      <c r="D82" s="78" t="s">
        <v>153</v>
      </c>
      <c r="E82" s="79" t="s">
        <v>20</v>
      </c>
      <c r="F82" s="97">
        <f>+'Plan de Adquisiciones '!F119</f>
        <v>0</v>
      </c>
      <c r="G82" s="98">
        <f>+'Plan de Adquisiciones '!G119</f>
        <v>170</v>
      </c>
      <c r="H82" s="97">
        <f>+'Plan de Adquisiciones '!H119</f>
        <v>0</v>
      </c>
      <c r="I82" s="97" t="str">
        <f>+'Plan de Adquisiciones '!I119</f>
        <v>Prestación de servicios  para realizar el diseño y la diagramación del magazín "Aula Urbana".</v>
      </c>
      <c r="J82" s="97">
        <f>+'Plan de Adquisiciones '!J119</f>
        <v>82111801</v>
      </c>
      <c r="K82" s="97" t="str">
        <f>+'Plan de Adquisiciones '!K119</f>
        <v>Profesional 222-05</v>
      </c>
      <c r="L82" s="97" t="str">
        <f>+'Plan de Adquisiciones '!L119</f>
        <v>Diana Prada</v>
      </c>
      <c r="M82" s="97" t="s">
        <v>503</v>
      </c>
      <c r="N82" s="97" t="str">
        <f>+'Plan de Adquisiciones '!N119</f>
        <v>Marzo</v>
      </c>
      <c r="O82" s="97"/>
      <c r="P82" s="98">
        <f>+'Plan de Adquisiciones '!O119</f>
        <v>9</v>
      </c>
      <c r="Q82" s="97" t="str">
        <f>+'Plan de Adquisiciones '!P119</f>
        <v xml:space="preserve"> Contratación Directa</v>
      </c>
      <c r="R82" s="97" t="str">
        <f>+'Plan de Adquisiciones '!Q119</f>
        <v>Directa</v>
      </c>
      <c r="S82" s="107">
        <f>+'Plan de Adquisiciones '!R119</f>
        <v>7734262</v>
      </c>
      <c r="T82" s="107">
        <f>+'Plan de Adquisiciones '!S119</f>
        <v>0</v>
      </c>
      <c r="U82" s="107">
        <f>+'Plan de Adquisiciones '!T119</f>
        <v>7734262</v>
      </c>
      <c r="V82" s="98">
        <f>+'Plan de Adquisiciones '!U119</f>
        <v>1</v>
      </c>
      <c r="W82" s="107">
        <f>+'Plan de Adquisiciones '!V119</f>
        <v>7734262</v>
      </c>
      <c r="X82" s="107">
        <f>+'Plan de Adquisiciones '!W119</f>
        <v>0</v>
      </c>
      <c r="Y82" s="107">
        <f>+'Plan de Adquisiciones '!X119</f>
        <v>7734262</v>
      </c>
      <c r="Z82" s="106">
        <f>+'Plan de Adquisiciones '!Y119</f>
        <v>42804</v>
      </c>
      <c r="AA82" s="106" t="s">
        <v>87</v>
      </c>
      <c r="AB82" s="106"/>
      <c r="AC82" s="97">
        <f>+'Plan de Adquisiciones '!Z119</f>
        <v>32</v>
      </c>
      <c r="AD82" s="108" t="str">
        <f>+'Plan de Adquisiciones '!AA119</f>
        <v>ANDREA SARMIENTO BOHORQUEZ</v>
      </c>
    </row>
    <row r="83" spans="1:30" ht="45" x14ac:dyDescent="0.25">
      <c r="A83" s="75" t="s">
        <v>171</v>
      </c>
      <c r="B83" s="75" t="s">
        <v>149</v>
      </c>
      <c r="C83" s="75" t="s">
        <v>233</v>
      </c>
      <c r="D83" s="78" t="s">
        <v>153</v>
      </c>
      <c r="E83" s="79" t="s">
        <v>20</v>
      </c>
      <c r="F83" s="97">
        <f>+'Plan de Adquisiciones '!F120</f>
        <v>0</v>
      </c>
      <c r="G83" s="98">
        <f>+'Plan de Adquisiciones '!G120</f>
        <v>138</v>
      </c>
      <c r="H83" s="97">
        <f>+'Plan de Adquisiciones '!H120</f>
        <v>0</v>
      </c>
      <c r="I83" s="97" t="str">
        <f>+'Plan de Adquisiciones '!I120</f>
        <v xml:space="preserve">Prestación de servicios para realizar la edición, el diseño y la diagramación de libros de la serie editorial del  IDEP. </v>
      </c>
      <c r="J83" s="97">
        <f>+'Plan de Adquisiciones '!J120</f>
        <v>82111801</v>
      </c>
      <c r="K83" s="97" t="str">
        <f>+'Plan de Adquisiciones '!K120</f>
        <v>Profesional 222-05</v>
      </c>
      <c r="L83" s="97" t="str">
        <f>+'Plan de Adquisiciones '!L120</f>
        <v>Diana Prada</v>
      </c>
      <c r="M83" s="97" t="s">
        <v>503</v>
      </c>
      <c r="N83" s="97" t="str">
        <f>+'Plan de Adquisiciones '!N120</f>
        <v>Mayo</v>
      </c>
      <c r="O83" s="97"/>
      <c r="P83" s="98">
        <f>+'Plan de Adquisiciones '!O120</f>
        <v>8</v>
      </c>
      <c r="Q83" s="97" t="str">
        <f>+'Plan de Adquisiciones '!P120</f>
        <v xml:space="preserve"> Contratación Directa</v>
      </c>
      <c r="R83" s="97" t="str">
        <f>+'Plan de Adquisiciones '!Q120</f>
        <v>Directa</v>
      </c>
      <c r="S83" s="107">
        <f>+'Plan de Adquisiciones '!R120</f>
        <v>25560000</v>
      </c>
      <c r="T83" s="107">
        <f>+'Plan de Adquisiciones '!S120</f>
        <v>0</v>
      </c>
      <c r="U83" s="107">
        <f>+'Plan de Adquisiciones '!T120</f>
        <v>25560000</v>
      </c>
      <c r="V83" s="98">
        <f>+'Plan de Adquisiciones '!U120</f>
        <v>1</v>
      </c>
      <c r="W83" s="107">
        <f>+'Plan de Adquisiciones '!V120</f>
        <v>25560000</v>
      </c>
      <c r="X83" s="107">
        <f>+'Plan de Adquisiciones '!W120</f>
        <v>0</v>
      </c>
      <c r="Y83" s="107">
        <f>+'Plan de Adquisiciones '!X120</f>
        <v>25560000</v>
      </c>
      <c r="Z83" s="106">
        <f>+'Plan de Adquisiciones '!Y120</f>
        <v>42860</v>
      </c>
      <c r="AA83" s="106" t="s">
        <v>56</v>
      </c>
      <c r="AB83" s="106"/>
      <c r="AC83" s="97">
        <f>+'Plan de Adquisiciones '!Z120</f>
        <v>72</v>
      </c>
      <c r="AD83" s="108" t="str">
        <f>+'Plan de Adquisiciones '!AA120</f>
        <v>TALLER DE EDICIÓN ROCCA S.A.</v>
      </c>
    </row>
    <row r="84" spans="1:30" ht="51.75" customHeight="1" x14ac:dyDescent="0.25">
      <c r="A84" s="75"/>
      <c r="B84" s="75"/>
      <c r="C84" s="75"/>
      <c r="D84" s="78"/>
      <c r="E84" s="79"/>
      <c r="F84" s="97">
        <f>+'Plan de Adquisiciones '!F121</f>
        <v>0</v>
      </c>
      <c r="G84" s="98">
        <f>+'Plan de Adquisiciones '!G121</f>
        <v>183</v>
      </c>
      <c r="H84" s="97">
        <f>+'Plan de Adquisiciones '!H121</f>
        <v>0</v>
      </c>
      <c r="I84" s="97" t="str">
        <f>+'Plan de Adquisiciones '!I121</f>
        <v>Prestación de servicios para la impresión de publicaciones del Instituto para la Investigación Educativa y el Desarrollo Pedagógico, IDEP</v>
      </c>
      <c r="J84" s="97">
        <f>+'Plan de Adquisiciones '!J121</f>
        <v>82111801</v>
      </c>
      <c r="K84" s="97" t="str">
        <f>+'Plan de Adquisiciones '!K121</f>
        <v>Profesional 222-05</v>
      </c>
      <c r="L84" s="97" t="str">
        <f>+'Plan de Adquisiciones '!L121</f>
        <v>Diana Prada</v>
      </c>
      <c r="M84" s="97" t="s">
        <v>503</v>
      </c>
      <c r="N84" s="97" t="str">
        <f>+'Plan de Adquisiciones '!N121</f>
        <v>Mayo</v>
      </c>
      <c r="O84" s="97"/>
      <c r="P84" s="98">
        <f>+'Plan de Adquisiciones '!O121</f>
        <v>9</v>
      </c>
      <c r="Q84" s="97" t="str">
        <f>+'Plan de Adquisiciones '!P121</f>
        <v>Selección Abreviada -Subasta inversa</v>
      </c>
      <c r="R84" s="97" t="str">
        <f>+'Plan de Adquisiciones '!Q121</f>
        <v>Selección Abreviada -Subasta inversa</v>
      </c>
      <c r="S84" s="107">
        <f>+'Plan de Adquisiciones '!R121</f>
        <v>26155250</v>
      </c>
      <c r="T84" s="107">
        <f>+'Plan de Adquisiciones '!S121</f>
        <v>0</v>
      </c>
      <c r="U84" s="107">
        <f>+'Plan de Adquisiciones '!T121</f>
        <v>26155250</v>
      </c>
      <c r="V84" s="98">
        <f>+'Plan de Adquisiciones '!U121</f>
        <v>0</v>
      </c>
      <c r="W84" s="107">
        <f>+'Plan de Adquisiciones '!V121</f>
        <v>26155250</v>
      </c>
      <c r="X84" s="107">
        <f>+'Plan de Adquisiciones '!W121</f>
        <v>0</v>
      </c>
      <c r="Y84" s="107">
        <f>+'Plan de Adquisiciones '!X121</f>
        <v>26155250</v>
      </c>
      <c r="Z84" s="106">
        <f>+'Plan de Adquisiciones '!Y121</f>
        <v>42877</v>
      </c>
      <c r="AA84" s="106" t="s">
        <v>56</v>
      </c>
      <c r="AB84" s="106"/>
      <c r="AC84" s="97">
        <f>+'Plan de Adquisiciones '!Z121</f>
        <v>87</v>
      </c>
      <c r="AD84" s="108" t="str">
        <f>+'Plan de Adquisiciones '!AA121</f>
        <v>CI WARRIORS COMPANY S.A.S.</v>
      </c>
    </row>
    <row r="85" spans="1:30" ht="78.75" x14ac:dyDescent="0.25">
      <c r="A85" s="75" t="s">
        <v>171</v>
      </c>
      <c r="B85" s="75" t="s">
        <v>149</v>
      </c>
      <c r="C85" s="75" t="s">
        <v>233</v>
      </c>
      <c r="D85" s="78" t="s">
        <v>153</v>
      </c>
      <c r="E85" s="79" t="s">
        <v>20</v>
      </c>
      <c r="F85" s="97">
        <f>+'Plan de Adquisiciones '!F122</f>
        <v>0</v>
      </c>
      <c r="G85" s="98">
        <f>+'Plan de Adquisiciones '!G122</f>
        <v>327</v>
      </c>
      <c r="H85" s="97">
        <f>+'Plan de Adquisiciones '!H122</f>
        <v>0</v>
      </c>
      <c r="I85" s="97" t="str">
        <f>+'Plan de Adquisiciones '!I122</f>
        <v>Prestación de servicios para efectuar la suscripción para el uso de sevicios y licencias para el fortalecimiento de las actividades de comunicación, socialización y divulgación del IDEP</v>
      </c>
      <c r="J85" s="97">
        <f>+'Plan de Adquisiciones '!J122</f>
        <v>82111801</v>
      </c>
      <c r="K85" s="97" t="str">
        <f>+'Plan de Adquisiciones '!K122</f>
        <v>Subdirector Académico</v>
      </c>
      <c r="L85" s="141">
        <f>+'Plan de Adquisiciones '!L122</f>
        <v>0</v>
      </c>
      <c r="M85" s="97" t="s">
        <v>503</v>
      </c>
      <c r="N85" s="97" t="str">
        <f>+'Plan de Adquisiciones '!N122</f>
        <v>Noviembre</v>
      </c>
      <c r="O85" s="97" t="s">
        <v>480</v>
      </c>
      <c r="P85" s="98">
        <f>+'Plan de Adquisiciones '!O122</f>
        <v>2</v>
      </c>
      <c r="Q85" s="97" t="str">
        <f>+'Plan de Adquisiciones '!P122</f>
        <v>Contratación directa</v>
      </c>
      <c r="R85" s="97">
        <f>+'Plan de Adquisiciones '!Q122</f>
        <v>0</v>
      </c>
      <c r="S85" s="107">
        <f>+'Plan de Adquisiciones '!R122</f>
        <v>3844750</v>
      </c>
      <c r="T85" s="107">
        <f>+'Plan de Adquisiciones '!S122</f>
        <v>0</v>
      </c>
      <c r="U85" s="107">
        <f>+'Plan de Adquisiciones '!T122</f>
        <v>3844750</v>
      </c>
      <c r="V85" s="98">
        <f>+'Plan de Adquisiciones '!U122</f>
        <v>0</v>
      </c>
      <c r="W85" s="107">
        <f>+'Plan de Adquisiciones '!V122</f>
        <v>0</v>
      </c>
      <c r="X85" s="107">
        <f>+'Plan de Adquisiciones '!W122</f>
        <v>0</v>
      </c>
      <c r="Y85" s="107">
        <f>+'Plan de Adquisiciones '!X122</f>
        <v>0</v>
      </c>
      <c r="Z85" s="106"/>
      <c r="AA85" s="106"/>
      <c r="AB85" s="106"/>
      <c r="AC85" s="97">
        <f>+'Plan de Adquisiciones '!Z122</f>
        <v>0</v>
      </c>
      <c r="AD85" s="108">
        <f>+'Plan de Adquisiciones '!AA122</f>
        <v>0</v>
      </c>
    </row>
    <row r="86" spans="1:30" ht="67.5" x14ac:dyDescent="0.25">
      <c r="A86" s="75" t="s">
        <v>171</v>
      </c>
      <c r="B86" s="75" t="s">
        <v>149</v>
      </c>
      <c r="C86" s="75" t="s">
        <v>233</v>
      </c>
      <c r="D86" s="78" t="s">
        <v>153</v>
      </c>
      <c r="E86" s="79" t="s">
        <v>20</v>
      </c>
      <c r="F86" s="97" t="str">
        <f>+'Plan de Adquisiciones '!F124</f>
        <v>Socialización y 
Divulgación.Componente 2</v>
      </c>
      <c r="G86" s="98">
        <f>+'Plan de Adquisiciones '!G124</f>
        <v>140</v>
      </c>
      <c r="H86" s="97">
        <f>+'Plan de Adquisiciones '!H124</f>
        <v>0</v>
      </c>
      <c r="I86" s="97" t="str">
        <f>+'Plan de Adquisiciones '!I124</f>
        <v xml:space="preserve">Prestación de servicios profesionales para realizar el diseño y diagramación de piezas gráficas (impresas, audioviduales y digitales) del IDEP. </v>
      </c>
      <c r="J86" s="97">
        <f>+'Plan de Adquisiciones '!J124</f>
        <v>82141504</v>
      </c>
      <c r="K86" s="97" t="str">
        <f>+'Plan de Adquisiciones '!K124</f>
        <v>Subdirector Académico</v>
      </c>
      <c r="L86" s="97" t="str">
        <f>+'Plan de Adquisiciones '!L124</f>
        <v>Juliana Gutiérrez</v>
      </c>
      <c r="M86" s="97" t="s">
        <v>503</v>
      </c>
      <c r="N86" s="97" t="str">
        <f>+'Plan de Adquisiciones '!N124</f>
        <v>Febrero</v>
      </c>
      <c r="O86" s="97"/>
      <c r="P86" s="98">
        <f>+'Plan de Adquisiciones '!O124</f>
        <v>10</v>
      </c>
      <c r="Q86" s="97" t="str">
        <f>+'Plan de Adquisiciones '!P124</f>
        <v xml:space="preserve"> Contratación Directa</v>
      </c>
      <c r="R86" s="97" t="str">
        <f>+'Plan de Adquisiciones '!Q124</f>
        <v>Directa</v>
      </c>
      <c r="S86" s="107">
        <f>+'Plan de Adquisiciones '!R124</f>
        <v>27383073</v>
      </c>
      <c r="T86" s="107">
        <f>+'Plan de Adquisiciones '!S124</f>
        <v>0</v>
      </c>
      <c r="U86" s="107">
        <f>+'Plan de Adquisiciones '!T124</f>
        <v>27383073</v>
      </c>
      <c r="V86" s="98">
        <f>+'Plan de Adquisiciones '!U124</f>
        <v>1</v>
      </c>
      <c r="W86" s="107">
        <f>+'Plan de Adquisiciones '!V124</f>
        <v>27383073</v>
      </c>
      <c r="X86" s="107">
        <f>+'Plan de Adquisiciones '!W124</f>
        <v>0</v>
      </c>
      <c r="Y86" s="107">
        <f>+'Plan de Adquisiciones '!X124</f>
        <v>27383073</v>
      </c>
      <c r="Z86" s="106">
        <f>+'Plan de Adquisiciones '!Y124</f>
        <v>42794</v>
      </c>
      <c r="AA86" s="106" t="s">
        <v>51</v>
      </c>
      <c r="AB86" s="106"/>
      <c r="AC86" s="97">
        <f>+'Plan de Adquisiciones '!Z124</f>
        <v>13</v>
      </c>
      <c r="AD86" s="108" t="str">
        <f>+'Plan de Adquisiciones '!AA124</f>
        <v>GUSTAVO MARTINEZ</v>
      </c>
    </row>
    <row r="87" spans="1:30" ht="56.25" x14ac:dyDescent="0.25">
      <c r="A87" s="75" t="s">
        <v>171</v>
      </c>
      <c r="B87" s="75" t="s">
        <v>149</v>
      </c>
      <c r="C87" s="75" t="s">
        <v>233</v>
      </c>
      <c r="D87" s="78" t="s">
        <v>153</v>
      </c>
      <c r="E87" s="79" t="s">
        <v>20</v>
      </c>
      <c r="F87" s="97">
        <f>+'Plan de Adquisiciones '!F125</f>
        <v>0</v>
      </c>
      <c r="G87" s="98">
        <f>+'Plan de Adquisiciones '!G125</f>
        <v>71</v>
      </c>
      <c r="H87" s="97">
        <f>+'Plan de Adquisiciones '!H125</f>
        <v>0</v>
      </c>
      <c r="I87" s="97" t="str">
        <f>+'Plan de Adquisiciones '!I125</f>
        <v>Prestación de servicios profesionales para apoyar la socialización académica e institucional y el seguimiento de la misma.</v>
      </c>
      <c r="J87" s="97">
        <f>+'Plan de Adquisiciones '!J125</f>
        <v>80111621</v>
      </c>
      <c r="K87" s="97" t="str">
        <f>+'Plan de Adquisiciones '!K125</f>
        <v>Asesor 105-03</v>
      </c>
      <c r="L87" s="97" t="str">
        <f>+'Plan de Adquisiciones '!L125</f>
        <v>Martha Cuevas</v>
      </c>
      <c r="M87" s="97" t="s">
        <v>503</v>
      </c>
      <c r="N87" s="97" t="str">
        <f>+'Plan de Adquisiciones '!N125</f>
        <v>Marzo</v>
      </c>
      <c r="O87" s="97"/>
      <c r="P87" s="98">
        <f>+'Plan de Adquisiciones '!O125</f>
        <v>10</v>
      </c>
      <c r="Q87" s="97" t="str">
        <f>+'Plan de Adquisiciones '!P125</f>
        <v xml:space="preserve"> Contratación Directa</v>
      </c>
      <c r="R87" s="97" t="str">
        <f>+'Plan de Adquisiciones '!Q125</f>
        <v>Directa</v>
      </c>
      <c r="S87" s="107">
        <f>+'Plan de Adquisiciones '!R125</f>
        <v>35495989</v>
      </c>
      <c r="T87" s="107">
        <f>+'Plan de Adquisiciones '!S125</f>
        <v>0</v>
      </c>
      <c r="U87" s="107">
        <f>+'Plan de Adquisiciones '!T125</f>
        <v>35495989</v>
      </c>
      <c r="V87" s="98">
        <f>+'Plan de Adquisiciones '!U125</f>
        <v>1</v>
      </c>
      <c r="W87" s="107">
        <f>+'Plan de Adquisiciones '!V125</f>
        <v>35495989</v>
      </c>
      <c r="X87" s="107">
        <f>+'Plan de Adquisiciones '!W125</f>
        <v>0</v>
      </c>
      <c r="Y87" s="107">
        <f>+'Plan de Adquisiciones '!X125</f>
        <v>35495989</v>
      </c>
      <c r="Z87" s="106">
        <f>+'Plan de Adquisiciones '!Y125</f>
        <v>42797</v>
      </c>
      <c r="AA87" s="106" t="s">
        <v>87</v>
      </c>
      <c r="AB87" s="106"/>
      <c r="AC87" s="97">
        <f>+'Plan de Adquisiciones '!Z125</f>
        <v>21</v>
      </c>
      <c r="AD87" s="108" t="str">
        <f>+'Plan de Adquisiciones '!AA125</f>
        <v>NOHORA ROSO GUEVARA</v>
      </c>
    </row>
    <row r="88" spans="1:30" ht="63" customHeight="1" x14ac:dyDescent="0.25">
      <c r="A88" s="75" t="s">
        <v>171</v>
      </c>
      <c r="B88" s="75" t="s">
        <v>149</v>
      </c>
      <c r="C88" s="75" t="s">
        <v>233</v>
      </c>
      <c r="D88" s="78" t="s">
        <v>153</v>
      </c>
      <c r="E88" s="79" t="s">
        <v>20</v>
      </c>
      <c r="F88" s="97">
        <f>+'Plan de Adquisiciones '!F126</f>
        <v>0</v>
      </c>
      <c r="G88" s="98">
        <f>+'Plan de Adquisiciones '!G126</f>
        <v>184</v>
      </c>
      <c r="H88" s="97">
        <f>+'Plan de Adquisiciones '!H126</f>
        <v>0</v>
      </c>
      <c r="I88" s="97" t="str">
        <f>+'Plan de Adquisiciones '!I126</f>
        <v xml:space="preserve">Adición al contrato No. 68 de 2016 " Prestación de servicios profesionales para el diseño de una estrategia de educomunicación institucional con el uso y desarrollo de  las  Tecnologías de la Información y la Comunicación, TIC". </v>
      </c>
      <c r="J88" s="97">
        <f>+'Plan de Adquisiciones '!J126</f>
        <v>80111621</v>
      </c>
      <c r="K88" s="97" t="str">
        <f>+'Plan de Adquisiciones '!K126</f>
        <v>Asesor 105-03</v>
      </c>
      <c r="L88" s="97" t="str">
        <f>+'Plan de Adquisiciones '!L126</f>
        <v>Martha Cuevas</v>
      </c>
      <c r="M88" s="97" t="s">
        <v>503</v>
      </c>
      <c r="N88" s="97" t="str">
        <f>+'Plan de Adquisiciones '!N126</f>
        <v>Marzo</v>
      </c>
      <c r="O88" s="97"/>
      <c r="P88" s="98">
        <f>+'Plan de Adquisiciones '!O126</f>
        <v>10</v>
      </c>
      <c r="Q88" s="97" t="str">
        <f>+'Plan de Adquisiciones '!P126</f>
        <v xml:space="preserve"> Contratación Directa</v>
      </c>
      <c r="R88" s="97" t="str">
        <f>+'Plan de Adquisiciones '!Q126</f>
        <v>Directa</v>
      </c>
      <c r="S88" s="107">
        <f>+'Plan de Adquisiciones '!R126</f>
        <v>3811361</v>
      </c>
      <c r="T88" s="107">
        <f>+'Plan de Adquisiciones '!S126</f>
        <v>0</v>
      </c>
      <c r="U88" s="107">
        <f>+'Plan de Adquisiciones '!T126</f>
        <v>3811361</v>
      </c>
      <c r="V88" s="98">
        <f>+'Plan de Adquisiciones '!U126</f>
        <v>1</v>
      </c>
      <c r="W88" s="107">
        <f>+'Plan de Adquisiciones '!V126</f>
        <v>3811361</v>
      </c>
      <c r="X88" s="107">
        <f>+'Plan de Adquisiciones '!W126</f>
        <v>0</v>
      </c>
      <c r="Y88" s="107">
        <f>+'Plan de Adquisiciones '!X126</f>
        <v>3811361</v>
      </c>
      <c r="Z88" s="106">
        <f>+'Plan de Adquisiciones '!Y126</f>
        <v>42804</v>
      </c>
      <c r="AA88" s="106" t="s">
        <v>87</v>
      </c>
      <c r="AB88" s="106"/>
      <c r="AC88" s="97">
        <f>+'Plan de Adquisiciones '!Z126</f>
        <v>68</v>
      </c>
      <c r="AD88" s="108" t="str">
        <f>+'Plan de Adquisiciones '!AA126</f>
        <v>LUISA TRUJILLO MARTINEZ</v>
      </c>
    </row>
    <row r="89" spans="1:30" ht="123.75" x14ac:dyDescent="0.25">
      <c r="A89" s="75" t="s">
        <v>171</v>
      </c>
      <c r="B89" s="75" t="s">
        <v>149</v>
      </c>
      <c r="C89" s="75" t="s">
        <v>233</v>
      </c>
      <c r="D89" s="78" t="s">
        <v>153</v>
      </c>
      <c r="E89" s="79" t="s">
        <v>20</v>
      </c>
      <c r="F89" s="97">
        <f>+'Plan de Adquisiciones '!F127</f>
        <v>0</v>
      </c>
      <c r="G89" s="98">
        <f>+'Plan de Adquisiciones '!G127</f>
        <v>204</v>
      </c>
      <c r="H89" s="97">
        <f>+'Plan de Adquisiciones '!H127</f>
        <v>0</v>
      </c>
      <c r="I89" s="97" t="str">
        <f>+'Plan de Adquisiciones '!I127</f>
        <v xml:space="preserve">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v>
      </c>
      <c r="J89" s="97">
        <f>+'Plan de Adquisiciones '!J127</f>
        <v>80111601</v>
      </c>
      <c r="K89" s="97" t="str">
        <f>+'Plan de Adquisiciones '!K127</f>
        <v>Subdirector Académico</v>
      </c>
      <c r="L89" s="97" t="str">
        <f>+'Plan de Adquisiciones '!L127</f>
        <v>Juliana Gutiérrez</v>
      </c>
      <c r="M89" s="97" t="s">
        <v>503</v>
      </c>
      <c r="N89" s="97" t="str">
        <f>+'Plan de Adquisiciones '!N104</f>
        <v>Abril</v>
      </c>
      <c r="O89" s="97"/>
      <c r="P89" s="98">
        <f>+'Plan de Adquisiciones '!O127</f>
        <v>8</v>
      </c>
      <c r="Q89" s="97" t="str">
        <f>+'Plan de Adquisiciones '!P127</f>
        <v xml:space="preserve"> Contratación Directa</v>
      </c>
      <c r="R89" s="97" t="str">
        <f>+'Plan de Adquisiciones '!Q127</f>
        <v>Directa</v>
      </c>
      <c r="S89" s="107">
        <f>+'Plan de Adquisiciones '!R127</f>
        <v>81599902</v>
      </c>
      <c r="T89" s="107">
        <f>+'Plan de Adquisiciones '!S127</f>
        <v>0</v>
      </c>
      <c r="U89" s="107">
        <f>+'Plan de Adquisiciones '!T127</f>
        <v>81599902</v>
      </c>
      <c r="V89" s="98">
        <f>+'Plan de Adquisiciones '!U127</f>
        <v>1</v>
      </c>
      <c r="W89" s="107">
        <f>+'Plan de Adquisiciones '!V127</f>
        <v>81599902</v>
      </c>
      <c r="X89" s="107">
        <f>+'Plan de Adquisiciones '!W127</f>
        <v>0</v>
      </c>
      <c r="Y89" s="107">
        <f>+'Plan de Adquisiciones '!X127</f>
        <v>81599902</v>
      </c>
      <c r="Z89" s="106">
        <f>+'Plan de Adquisiciones '!Y127</f>
        <v>42843</v>
      </c>
      <c r="AA89" s="106" t="s">
        <v>63</v>
      </c>
      <c r="AB89" s="106"/>
      <c r="AC89" s="97">
        <f>+'Plan de Adquisiciones '!Z127</f>
        <v>45</v>
      </c>
      <c r="AD89" s="108" t="str">
        <f>+'Plan de Adquisiciones '!AA127</f>
        <v>CAJA DE COMPENSACIÓN FAMILIAR COMPENSAR</v>
      </c>
    </row>
    <row r="90" spans="1:30" ht="56.25" x14ac:dyDescent="0.25">
      <c r="A90" s="75" t="s">
        <v>171</v>
      </c>
      <c r="B90" s="75" t="s">
        <v>149</v>
      </c>
      <c r="C90" s="75" t="s">
        <v>233</v>
      </c>
      <c r="D90" s="78" t="s">
        <v>153</v>
      </c>
      <c r="E90" s="79" t="s">
        <v>20</v>
      </c>
      <c r="F90" s="97">
        <f>+'Plan de Adquisiciones '!F128</f>
        <v>0</v>
      </c>
      <c r="G90" s="98">
        <f>+'Plan de Adquisiciones '!G128</f>
        <v>172</v>
      </c>
      <c r="H90" s="97">
        <f>+'Plan de Adquisiciones '!H128</f>
        <v>0</v>
      </c>
      <c r="I90" s="97" t="str">
        <f>+'Plan de Adquisiciones '!I128</f>
        <v>Prestación de servicios profesionales para dar soporte a página web del IDEP y a la infraestructura tecnológica del instituto</v>
      </c>
      <c r="J90" s="97">
        <f>+'Plan de Adquisiciones '!J128</f>
        <v>81112103</v>
      </c>
      <c r="K90" s="97" t="str">
        <f>+'Plan de Adquisiciones '!K128</f>
        <v>Subdirector Académico</v>
      </c>
      <c r="L90" s="97" t="str">
        <f>+'Plan de Adquisiciones '!L128</f>
        <v>Juliana Gutiérrez</v>
      </c>
      <c r="M90" s="97" t="s">
        <v>503</v>
      </c>
      <c r="N90" s="97" t="str">
        <f>+'Plan de Adquisiciones '!N128</f>
        <v>Marzo</v>
      </c>
      <c r="O90" s="97"/>
      <c r="P90" s="98">
        <f>+'Plan de Adquisiciones '!O128</f>
        <v>10</v>
      </c>
      <c r="Q90" s="97" t="str">
        <f>+'Plan de Adquisiciones '!P128</f>
        <v xml:space="preserve"> Contratación Directa</v>
      </c>
      <c r="R90" s="97" t="str">
        <f>+'Plan de Adquisiciones '!Q128</f>
        <v>Directa</v>
      </c>
      <c r="S90" s="107">
        <f>+'Plan de Adquisiciones '!R128</f>
        <v>18918013</v>
      </c>
      <c r="T90" s="107">
        <f>+'Plan de Adquisiciones '!S128</f>
        <v>0</v>
      </c>
      <c r="U90" s="107">
        <f>+'Plan de Adquisiciones '!T128</f>
        <v>18918013</v>
      </c>
      <c r="V90" s="98">
        <f>+'Plan de Adquisiciones '!U128</f>
        <v>1</v>
      </c>
      <c r="W90" s="107">
        <f>+'Plan de Adquisiciones '!V128</f>
        <v>18918013</v>
      </c>
      <c r="X90" s="107">
        <f>+'Plan de Adquisiciones '!W128</f>
        <v>0</v>
      </c>
      <c r="Y90" s="107">
        <f>+'Plan de Adquisiciones '!X128</f>
        <v>18918013</v>
      </c>
      <c r="Z90" s="106">
        <f>+'Plan de Adquisiciones '!Y128</f>
        <v>42801</v>
      </c>
      <c r="AA90" s="106" t="s">
        <v>87</v>
      </c>
      <c r="AB90" s="106"/>
      <c r="AC90" s="97">
        <f>+'Plan de Adquisiciones '!Z128</f>
        <v>27</v>
      </c>
      <c r="AD90" s="108" t="str">
        <f>+'Plan de Adquisiciones '!AA128</f>
        <v>OSCAR LOZANO MANRIQUE</v>
      </c>
    </row>
    <row r="91" spans="1:30" ht="157.5" x14ac:dyDescent="0.25">
      <c r="A91" s="75" t="s">
        <v>171</v>
      </c>
      <c r="B91" s="75" t="s">
        <v>149</v>
      </c>
      <c r="C91" s="75" t="s">
        <v>233</v>
      </c>
      <c r="D91" s="78" t="s">
        <v>153</v>
      </c>
      <c r="E91" s="79" t="s">
        <v>20</v>
      </c>
      <c r="F91" s="97">
        <f>+'Plan de Adquisiciones '!F129</f>
        <v>0</v>
      </c>
      <c r="G91" s="98">
        <f>+'Plan de Adquisiciones '!G129</f>
        <v>174</v>
      </c>
      <c r="H91" s="97">
        <f>+'Plan de Adquisiciones '!H129</f>
        <v>0</v>
      </c>
      <c r="I91" s="97" t="str">
        <f>+'Plan de Adquisiciones '!I129</f>
        <v>Prestar servicios para difundir en televisión nacional abierta por medio de la serie “francisco el matemático”, las estrategias y campañas del distrito capital para la promoción de valores cívicos, competencias ciudadanas y autocuidado, que contribuyen al mejoramiento de la calidad de vida de la comunidad educativa del distrito y la ciudadanía en general, en el marco del plan de desarrollo “bogotá mejor para todos”</v>
      </c>
      <c r="J91" s="97">
        <f>+'Plan de Adquisiciones '!J129</f>
        <v>80111621</v>
      </c>
      <c r="K91" s="97" t="str">
        <f>+'Plan de Adquisiciones '!K129</f>
        <v>Subdirector Académico</v>
      </c>
      <c r="L91" s="97" t="str">
        <f>+'Plan de Adquisiciones '!L129</f>
        <v>Juliana Gutiérrez</v>
      </c>
      <c r="M91" s="97" t="s">
        <v>503</v>
      </c>
      <c r="N91" s="97" t="str">
        <f>+'Plan de Adquisiciones '!N129</f>
        <v>Febrero</v>
      </c>
      <c r="O91" s="97"/>
      <c r="P91" s="98">
        <f>+'Plan de Adquisiciones '!O129</f>
        <v>10</v>
      </c>
      <c r="Q91" s="97" t="str">
        <f>+'Plan de Adquisiciones '!P129</f>
        <v xml:space="preserve"> Contratación Directa</v>
      </c>
      <c r="R91" s="97" t="str">
        <f>+'Plan de Adquisiciones '!Q129</f>
        <v>Directa</v>
      </c>
      <c r="S91" s="107">
        <f>+'Plan de Adquisiciones '!R129</f>
        <v>167094477</v>
      </c>
      <c r="T91" s="107">
        <f>+'Plan de Adquisiciones '!S129</f>
        <v>0</v>
      </c>
      <c r="U91" s="107">
        <f>+'Plan de Adquisiciones '!T129</f>
        <v>167094477</v>
      </c>
      <c r="V91" s="98">
        <f>+'Plan de Adquisiciones '!U129</f>
        <v>1</v>
      </c>
      <c r="W91" s="107">
        <f>+'Plan de Adquisiciones '!V129</f>
        <v>167094477</v>
      </c>
      <c r="X91" s="107">
        <f>+'Plan de Adquisiciones '!W129</f>
        <v>0</v>
      </c>
      <c r="Y91" s="107">
        <f>+'Plan de Adquisiciones '!X129</f>
        <v>167094477</v>
      </c>
      <c r="Z91" s="106">
        <f>+'Plan de Adquisiciones '!Y129</f>
        <v>42804</v>
      </c>
      <c r="AA91" s="106" t="s">
        <v>87</v>
      </c>
      <c r="AB91" s="106"/>
      <c r="AC91" s="97">
        <f>+'Plan de Adquisiciones '!Z129</f>
        <v>33</v>
      </c>
      <c r="AD91" s="108" t="str">
        <f>+'Plan de Adquisiciones '!AA129</f>
        <v>RCN TELEVISIÓN</v>
      </c>
    </row>
    <row r="92" spans="1:30" ht="78.75" x14ac:dyDescent="0.25">
      <c r="A92" s="75" t="s">
        <v>171</v>
      </c>
      <c r="B92" s="75" t="s">
        <v>149</v>
      </c>
      <c r="C92" s="75" t="s">
        <v>233</v>
      </c>
      <c r="D92" s="78" t="s">
        <v>153</v>
      </c>
      <c r="E92" s="79" t="s">
        <v>20</v>
      </c>
      <c r="F92" s="97">
        <f>+'Plan de Adquisiciones '!F130</f>
        <v>0</v>
      </c>
      <c r="G92" s="98">
        <f>+'Plan de Adquisiciones '!G130</f>
        <v>143</v>
      </c>
      <c r="H92" s="97">
        <f>+'Plan de Adquisiciones '!H130</f>
        <v>0</v>
      </c>
      <c r="I92" s="97" t="str">
        <f>+'Plan de Adquisiciones '!I130</f>
        <v>Arrendar un (1) stand, con el propósito que el Instituto para la Investigación Educativa y el Desarrollo Pedagógico IDEP, participe como expositor en la XXX Feria Internacional del Libro de Bogotá -Colombia</v>
      </c>
      <c r="J92" s="97">
        <f>+'Plan de Adquisiciones '!J130</f>
        <v>80111621</v>
      </c>
      <c r="K92" s="97" t="str">
        <f>+'Plan de Adquisiciones '!K130</f>
        <v>Profesional 222-05</v>
      </c>
      <c r="L92" s="97" t="str">
        <f>+'Plan de Adquisiciones '!L130</f>
        <v>Diana Prada</v>
      </c>
      <c r="M92" s="97" t="s">
        <v>503</v>
      </c>
      <c r="N92" s="97" t="str">
        <f>+'Plan de Adquisiciones '!N130</f>
        <v>Marzo</v>
      </c>
      <c r="O92" s="97"/>
      <c r="P92" s="98">
        <f>+'Plan de Adquisiciones '!O130</f>
        <v>2</v>
      </c>
      <c r="Q92" s="97" t="str">
        <f>+'Plan de Adquisiciones '!P130</f>
        <v xml:space="preserve"> Contratación Directa</v>
      </c>
      <c r="R92" s="97" t="str">
        <f>+'Plan de Adquisiciones '!Q130</f>
        <v>Directa</v>
      </c>
      <c r="S92" s="107">
        <f>+'Plan de Adquisiciones '!R130</f>
        <v>12003538</v>
      </c>
      <c r="T92" s="107">
        <f>+'Plan de Adquisiciones '!S130</f>
        <v>0</v>
      </c>
      <c r="U92" s="107">
        <f>+'Plan de Adquisiciones '!T130</f>
        <v>12003538</v>
      </c>
      <c r="V92" s="98">
        <f>+'Plan de Adquisiciones '!U130</f>
        <v>1</v>
      </c>
      <c r="W92" s="107">
        <f>+'Plan de Adquisiciones '!V130</f>
        <v>12003538</v>
      </c>
      <c r="X92" s="107">
        <f>+'Plan de Adquisiciones '!W130</f>
        <v>0</v>
      </c>
      <c r="Y92" s="107">
        <f>+'Plan de Adquisiciones '!X130</f>
        <v>12003538</v>
      </c>
      <c r="Z92" s="106">
        <f>+'Plan de Adquisiciones '!Y130</f>
        <v>42818</v>
      </c>
      <c r="AA92" s="106" t="s">
        <v>87</v>
      </c>
      <c r="AB92" s="106"/>
      <c r="AC92" s="97">
        <f>+'Plan de Adquisiciones '!Z130</f>
        <v>38</v>
      </c>
      <c r="AD92" s="108" t="str">
        <f>+'Plan de Adquisiciones '!AA130</f>
        <v>EXPOSICIÓN DE FERIAS Y EXPOSICIONES S.A.</v>
      </c>
    </row>
    <row r="93" spans="1:30" ht="67.5" x14ac:dyDescent="0.25">
      <c r="A93" s="75" t="s">
        <v>171</v>
      </c>
      <c r="B93" s="75" t="s">
        <v>149</v>
      </c>
      <c r="C93" s="75" t="s">
        <v>233</v>
      </c>
      <c r="D93" s="78" t="s">
        <v>153</v>
      </c>
      <c r="E93" s="79" t="s">
        <v>20</v>
      </c>
      <c r="F93" s="97" t="str">
        <f>+'Plan de Adquisiciones '!F132</f>
        <v>Documentación  información y memoria institucional componente 2</v>
      </c>
      <c r="G93" s="98">
        <f>+'Plan de Adquisiciones '!G132</f>
        <v>144</v>
      </c>
      <c r="H93" s="97">
        <f>+'Plan de Adquisiciones '!H132</f>
        <v>0</v>
      </c>
      <c r="I93" s="97" t="str">
        <f>+'Plan de Adquisiciones '!I132</f>
        <v>Prestación de servicios profesionales para implementar una estrategia de formación docente que haga uso del Centro Virtual de Memoria en Educación y Pedagogía del IDEP.</v>
      </c>
      <c r="J93" s="97">
        <f>+'Plan de Adquisiciones '!J132</f>
        <v>80111621</v>
      </c>
      <c r="K93" s="97" t="str">
        <f>+'Plan de Adquisiciones '!K132</f>
        <v>Profesional 222-05</v>
      </c>
      <c r="L93" s="97" t="str">
        <f>+'Plan de Adquisiciones '!L132</f>
        <v>Amanda Cortés</v>
      </c>
      <c r="M93" s="97" t="s">
        <v>503</v>
      </c>
      <c r="N93" s="97" t="str">
        <f>+'Plan de Adquisiciones '!N132</f>
        <v>Marzo</v>
      </c>
      <c r="O93" s="97"/>
      <c r="P93" s="98">
        <f>+'Plan de Adquisiciones '!O132</f>
        <v>6</v>
      </c>
      <c r="Q93" s="97" t="str">
        <f>+'Plan de Adquisiciones '!P132</f>
        <v xml:space="preserve"> Contratación Directa</v>
      </c>
      <c r="R93" s="97" t="str">
        <f>+'Plan de Adquisiciones '!Q132</f>
        <v>Directa</v>
      </c>
      <c r="S93" s="107">
        <f>+'Plan de Adquisiciones '!R132</f>
        <v>52000620</v>
      </c>
      <c r="T93" s="107">
        <f>+'Plan de Adquisiciones '!S132</f>
        <v>0</v>
      </c>
      <c r="U93" s="107">
        <f>+'Plan de Adquisiciones '!T132</f>
        <v>52000620</v>
      </c>
      <c r="V93" s="98">
        <f>+'Plan de Adquisiciones '!U132</f>
        <v>1</v>
      </c>
      <c r="W93" s="107">
        <f>+'Plan de Adquisiciones '!V132</f>
        <v>52000620</v>
      </c>
      <c r="X93" s="107">
        <f>+'Plan de Adquisiciones '!W132</f>
        <v>0</v>
      </c>
      <c r="Y93" s="107">
        <f>+'Plan de Adquisiciones '!X132</f>
        <v>52000620</v>
      </c>
      <c r="Z93" s="106">
        <f>+'Plan de Adquisiciones '!Y132</f>
        <v>42831</v>
      </c>
      <c r="AA93" s="106" t="s">
        <v>63</v>
      </c>
      <c r="AB93" s="106"/>
      <c r="AC93" s="97">
        <f>+'Plan de Adquisiciones '!Z132</f>
        <v>42</v>
      </c>
      <c r="AD93" s="108" t="str">
        <f>+'Plan de Adquisiciones '!AA132</f>
        <v>FUNDACION VIVENCIA</v>
      </c>
    </row>
    <row r="94" spans="1:30" ht="123.75" x14ac:dyDescent="0.25">
      <c r="F94" s="97" t="str">
        <f>+'Plan de Adquisiciones '!F134</f>
        <v>Prensa Componente 2</v>
      </c>
      <c r="G94" s="98">
        <f>+'Plan de Adquisiciones '!G134</f>
        <v>204</v>
      </c>
      <c r="H94" s="97">
        <f>+'Plan de Adquisiciones '!H134</f>
        <v>0</v>
      </c>
      <c r="I94" s="97" t="str">
        <f>+'Plan de Adquisiciones '!I134</f>
        <v xml:space="preserve">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v>
      </c>
      <c r="J94" s="97" t="str">
        <f>+'Plan de Adquisiciones '!J134</f>
        <v>82111901
 82111902</v>
      </c>
      <c r="K94" s="97" t="str">
        <f>+'Plan de Adquisiciones '!K134</f>
        <v>Subdirector Académico</v>
      </c>
      <c r="L94" s="97" t="str">
        <f>+'Plan de Adquisiciones '!L134</f>
        <v>Juliana Gutiérrez</v>
      </c>
      <c r="M94" s="97" t="s">
        <v>503</v>
      </c>
      <c r="N94" s="97" t="str">
        <f>+'Plan de Adquisiciones '!N134</f>
        <v>Mayo</v>
      </c>
      <c r="O94" s="97"/>
      <c r="P94" s="98">
        <f>+'Plan de Adquisiciones '!O134</f>
        <v>1</v>
      </c>
      <c r="Q94" s="97" t="str">
        <f>+'Plan de Adquisiciones '!P134</f>
        <v xml:space="preserve"> Contratación Directa</v>
      </c>
      <c r="R94" s="97" t="str">
        <f>+'Plan de Adquisiciones '!Q134</f>
        <v>Directa</v>
      </c>
      <c r="S94" s="107">
        <f>+'Plan de Adquisiciones '!R134</f>
        <v>2213027</v>
      </c>
      <c r="T94" s="107">
        <f>+'Plan de Adquisiciones '!S134</f>
        <v>0</v>
      </c>
      <c r="U94" s="107">
        <f>+'Plan de Adquisiciones '!T134</f>
        <v>2213027</v>
      </c>
      <c r="V94" s="98">
        <f>+'Plan de Adquisiciones '!U134</f>
        <v>1</v>
      </c>
      <c r="W94" s="107">
        <f>+'Plan de Adquisiciones '!V134</f>
        <v>2213027</v>
      </c>
      <c r="X94" s="107">
        <f>+'Plan de Adquisiciones '!W134</f>
        <v>0</v>
      </c>
      <c r="Y94" s="107">
        <f>+'Plan de Adquisiciones '!X134</f>
        <v>2213027</v>
      </c>
      <c r="Z94" s="106">
        <f>+'Plan de Adquisiciones '!Y134</f>
        <v>42843</v>
      </c>
      <c r="AA94" s="106" t="s">
        <v>63</v>
      </c>
      <c r="AB94" s="106"/>
      <c r="AC94" s="97">
        <f>+'Plan de Adquisiciones '!Z134</f>
        <v>45</v>
      </c>
      <c r="AD94" s="108" t="str">
        <f>+'Plan de Adquisiciones '!AA134</f>
        <v>CAJA DE COMPENSACIÓN FAMILIAR COMPENSAR</v>
      </c>
    </row>
    <row r="95" spans="1:30" ht="90" x14ac:dyDescent="0.25">
      <c r="F95" s="97" t="str">
        <f>+'Plan de Adquisiciones '!F136</f>
        <v>Reconocimiento docente</v>
      </c>
      <c r="G95" s="98">
        <f>+'Plan de Adquisiciones '!G136</f>
        <v>242</v>
      </c>
      <c r="H95" s="97">
        <f>+'Plan de Adquisiciones '!H136</f>
        <v>0</v>
      </c>
      <c r="I95" s="97" t="str">
        <f>+'Plan de Adquisiciones '!I136</f>
        <v>Prestación de servicios profesionales para apoyar la gestión académica y administrativa de la XI versión del Premio a la Investigación e Innovación educativa, en el marco del Convenio 1452 de 2017 en su componente 5.</v>
      </c>
      <c r="J95" s="97">
        <f>+'Plan de Adquisiciones '!J136</f>
        <v>80111621</v>
      </c>
      <c r="K95" s="97" t="str">
        <f>+'Plan de Adquisiciones '!K136</f>
        <v>Asesor 105-02</v>
      </c>
      <c r="L95" s="97" t="str">
        <f>+'Plan de Adquisiciones '!L136</f>
        <v>María Isabel Ramírez</v>
      </c>
      <c r="M95" s="97" t="s">
        <v>503</v>
      </c>
      <c r="N95" s="97" t="str">
        <f>+'Plan de Adquisiciones '!N110</f>
        <v>Mayo</v>
      </c>
      <c r="O95" s="97"/>
      <c r="P95" s="98">
        <f>+'Plan de Adquisiciones '!O136</f>
        <v>8</v>
      </c>
      <c r="Q95" s="97" t="str">
        <f>+'Plan de Adquisiciones '!P136</f>
        <v xml:space="preserve"> Contratación Directa</v>
      </c>
      <c r="R95" s="97" t="str">
        <f>+'Plan de Adquisiciones '!Q136</f>
        <v>Directa</v>
      </c>
      <c r="S95" s="107">
        <f>+'Plan de Adquisiciones '!R136</f>
        <v>0</v>
      </c>
      <c r="T95" s="107">
        <f>+'Plan de Adquisiciones '!S136</f>
        <v>36682979</v>
      </c>
      <c r="U95" s="107">
        <f>+'Plan de Adquisiciones '!T136</f>
        <v>36682979</v>
      </c>
      <c r="V95" s="98">
        <f>+'Plan de Adquisiciones '!U136</f>
        <v>1</v>
      </c>
      <c r="W95" s="107">
        <f>+'Plan de Adquisiciones '!V136</f>
        <v>0</v>
      </c>
      <c r="X95" s="107">
        <f>+'Plan de Adquisiciones '!W136</f>
        <v>36682979</v>
      </c>
      <c r="Y95" s="107">
        <f>+'Plan de Adquisiciones '!X136</f>
        <v>36682979</v>
      </c>
      <c r="Z95" s="106">
        <f>+'Plan de Adquisiciones '!Y136</f>
        <v>42844</v>
      </c>
      <c r="AA95" s="106" t="s">
        <v>63</v>
      </c>
      <c r="AB95" s="106"/>
      <c r="AC95" s="97">
        <f>+'Plan de Adquisiciones '!Z136</f>
        <v>52</v>
      </c>
      <c r="AD95" s="108" t="str">
        <f>+'Plan de Adquisiciones '!AA136</f>
        <v>YUDY CAMARGO CAMARGO</v>
      </c>
    </row>
    <row r="96" spans="1:30" ht="112.5" x14ac:dyDescent="0.25">
      <c r="F96" s="97">
        <f>+'Plan de Adquisiciones '!F137</f>
        <v>0</v>
      </c>
      <c r="G96" s="98">
        <f>+'Plan de Adquisiciones '!G137</f>
        <v>278</v>
      </c>
      <c r="H96" s="97">
        <f>+'Plan de Adquisiciones '!H137</f>
        <v>0</v>
      </c>
      <c r="I96" s="97" t="str">
        <f>+'Plan de Adquisiciones '!I137</f>
        <v>Prestación de servicios para el desarrollo de un aplicativo como solución tecnológica, que permita fortalecer y administrar la convocatoria del Premio a la investigación e Innovación Educativa desde el micrositio del mismo, en el marco del convenio 1452 de 2017 en su componente 5.</v>
      </c>
      <c r="J96" s="97">
        <f>+'Plan de Adquisiciones '!J137</f>
        <v>80111621</v>
      </c>
      <c r="K96" s="97" t="str">
        <f>+'Plan de Adquisiciones '!K137</f>
        <v>Asesor 105-02</v>
      </c>
      <c r="L96" s="97" t="str">
        <f>+'Plan de Adquisiciones '!L137</f>
        <v>María Isabel Ramírez</v>
      </c>
      <c r="M96" s="97" t="s">
        <v>503</v>
      </c>
      <c r="N96" s="97" t="str">
        <f>+'Plan de Adquisiciones '!N137</f>
        <v>Octubre</v>
      </c>
      <c r="O96" s="97"/>
      <c r="P96" s="98">
        <f>+'Plan de Adquisiciones '!O137</f>
        <v>2</v>
      </c>
      <c r="Q96" s="97" t="str">
        <f>+'Plan de Adquisiciones '!P137</f>
        <v>Selección Abreviada Menor cuantía</v>
      </c>
      <c r="R96" s="97" t="str">
        <f>+'Plan de Adquisiciones '!Q137</f>
        <v>Selección Abreviada Menor cuantía</v>
      </c>
      <c r="S96" s="107">
        <f>+'Plan de Adquisiciones '!R137</f>
        <v>0</v>
      </c>
      <c r="T96" s="107">
        <f>+'Plan de Adquisiciones '!S137</f>
        <v>0</v>
      </c>
      <c r="U96" s="107">
        <f>+'Plan de Adquisiciones '!T137</f>
        <v>0</v>
      </c>
      <c r="V96" s="98">
        <f>+'Plan de Adquisiciones '!U137</f>
        <v>0</v>
      </c>
      <c r="W96" s="107">
        <f>+'Plan de Adquisiciones '!V137</f>
        <v>0</v>
      </c>
      <c r="X96" s="107">
        <f>+'Plan de Adquisiciones '!W137</f>
        <v>0</v>
      </c>
      <c r="Y96" s="107">
        <f>+'Plan de Adquisiciones '!X137</f>
        <v>0</v>
      </c>
      <c r="Z96" s="106"/>
      <c r="AA96" s="106"/>
      <c r="AB96" s="106"/>
      <c r="AC96" s="97">
        <f>+'Plan de Adquisiciones '!Z137</f>
        <v>0</v>
      </c>
      <c r="AD96" s="108">
        <f>+'Plan de Adquisiciones '!AA137</f>
        <v>0</v>
      </c>
    </row>
    <row r="97" spans="6:30" ht="101.25" x14ac:dyDescent="0.25">
      <c r="F97" s="97">
        <f>+'Plan de Adquisiciones '!F139</f>
        <v>0</v>
      </c>
      <c r="G97" s="98">
        <f>+'Plan de Adquisiciones '!G139</f>
        <v>245</v>
      </c>
      <c r="H97" s="97">
        <f>+'Plan de Adquisiciones '!H139</f>
        <v>0</v>
      </c>
      <c r="I97" s="97" t="str">
        <f>+'Plan de Adquisiciones '!I139</f>
        <v>Prestación de servicios para adelantar el proceso de evaluación de los proyectos de investigación e innovación habilitados, en la XI versión del Premio de Investigación e Innovación Educativa, en el marco del Convenio 1452 de 2017 en su componente 5.</v>
      </c>
      <c r="J97" s="97">
        <f>+'Plan de Adquisiciones '!J139</f>
        <v>80111621</v>
      </c>
      <c r="K97" s="97" t="str">
        <f>+'Plan de Adquisiciones '!K139</f>
        <v>Profesional Universitario 219-01</v>
      </c>
      <c r="L97" s="97" t="str">
        <f>+'Plan de Adquisiciones '!L139</f>
        <v>Alexandra Díaz</v>
      </c>
      <c r="M97" s="97" t="s">
        <v>503</v>
      </c>
      <c r="N97" s="97" t="str">
        <f>+'Plan de Adquisiciones '!N139</f>
        <v>Agosto</v>
      </c>
      <c r="O97" s="97"/>
      <c r="P97" s="98">
        <f>+'Plan de Adquisiciones '!O139</f>
        <v>5</v>
      </c>
      <c r="Q97" s="97" t="str">
        <f>+'Plan de Adquisiciones '!P139</f>
        <v xml:space="preserve"> Contratación Directa</v>
      </c>
      <c r="R97" s="97" t="str">
        <f>+'Plan de Adquisiciones '!Q139</f>
        <v>Directa</v>
      </c>
      <c r="S97" s="107">
        <f>+'Plan de Adquisiciones '!R139</f>
        <v>0</v>
      </c>
      <c r="T97" s="107">
        <f>+'Plan de Adquisiciones '!S139</f>
        <v>278334000</v>
      </c>
      <c r="U97" s="107">
        <f>+'Plan de Adquisiciones '!T139</f>
        <v>278334000</v>
      </c>
      <c r="V97" s="98">
        <f>+'Plan de Adquisiciones '!U139</f>
        <v>0</v>
      </c>
      <c r="W97" s="107">
        <f>+'Plan de Adquisiciones '!V139</f>
        <v>0</v>
      </c>
      <c r="X97" s="107">
        <f>+'Plan de Adquisiciones '!W139</f>
        <v>278334000</v>
      </c>
      <c r="Y97" s="107">
        <f>+'Plan de Adquisiciones '!X139</f>
        <v>278334000</v>
      </c>
      <c r="Z97" s="106"/>
      <c r="AA97" s="106"/>
      <c r="AB97" s="106"/>
      <c r="AC97" s="97">
        <f>+'Plan de Adquisiciones '!Z139</f>
        <v>106</v>
      </c>
      <c r="AD97" s="108" t="str">
        <f>+'Plan de Adquisiciones '!AA139</f>
        <v>UNIVERSIDAD NACIONAL</v>
      </c>
    </row>
    <row r="98" spans="6:30" ht="146.25" x14ac:dyDescent="0.25">
      <c r="F98" s="97">
        <f>+'Plan de Adquisiciones '!F140</f>
        <v>0</v>
      </c>
      <c r="G98" s="98">
        <f>+'Plan de Adquisiciones '!G140</f>
        <v>246</v>
      </c>
      <c r="H98" s="97">
        <f>+'Plan de Adquisiciones '!H140</f>
        <v>0</v>
      </c>
      <c r="I98" s="97" t="str">
        <f>+'Plan de Adquisiciones '!I140</f>
        <v>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v>
      </c>
      <c r="J98" s="97">
        <f>+'Plan de Adquisiciones '!J140</f>
        <v>80111621</v>
      </c>
      <c r="K98" s="97" t="str">
        <f>+'Plan de Adquisiciones '!K140</f>
        <v>Asesor 105-02</v>
      </c>
      <c r="L98" s="97" t="str">
        <f>+'Plan de Adquisiciones '!L140</f>
        <v>María Isabel Ramírez</v>
      </c>
      <c r="M98" s="97" t="s">
        <v>503</v>
      </c>
      <c r="N98" s="97" t="str">
        <f>+'Plan de Adquisiciones '!N140</f>
        <v>Mayo</v>
      </c>
      <c r="O98" s="97"/>
      <c r="P98" s="98">
        <f>+'Plan de Adquisiciones '!O140</f>
        <v>7</v>
      </c>
      <c r="Q98" s="97" t="str">
        <f>+'Plan de Adquisiciones '!P140</f>
        <v xml:space="preserve"> Contratación Directa</v>
      </c>
      <c r="R98" s="97" t="str">
        <f>+'Plan de Adquisiciones '!Q140</f>
        <v>Directa</v>
      </c>
      <c r="S98" s="107">
        <f>+'Plan de Adquisiciones '!R140</f>
        <v>0</v>
      </c>
      <c r="T98" s="107">
        <f>+'Plan de Adquisiciones '!S140</f>
        <v>432523468</v>
      </c>
      <c r="U98" s="107">
        <f>+'Plan de Adquisiciones '!T140</f>
        <v>432523468</v>
      </c>
      <c r="V98" s="98">
        <f>+'Plan de Adquisiciones '!U140</f>
        <v>0</v>
      </c>
      <c r="W98" s="107">
        <f>+'Plan de Adquisiciones '!V140</f>
        <v>0</v>
      </c>
      <c r="X98" s="107">
        <f>+'Plan de Adquisiciones '!W140</f>
        <v>432523468</v>
      </c>
      <c r="Y98" s="107">
        <f>+'Plan de Adquisiciones '!X140</f>
        <v>432523468</v>
      </c>
      <c r="Z98" s="106">
        <v>42871</v>
      </c>
      <c r="AA98" s="106" t="s">
        <v>56</v>
      </c>
      <c r="AB98" s="106"/>
      <c r="AC98" s="106">
        <f>+'Plan de Adquisiciones '!Z140</f>
        <v>82</v>
      </c>
      <c r="AD98" s="108" t="str">
        <f>+'Plan de Adquisiciones '!AA140</f>
        <v>CORPORACION MIXTA PARA LA INVESTIGACION Y DESARROLLO DE LA EDUCACION - CORPOEDUCACION</v>
      </c>
    </row>
    <row r="99" spans="6:30" ht="90" x14ac:dyDescent="0.25">
      <c r="F99" s="97">
        <f>+'Plan de Adquisiciones '!F141</f>
        <v>0</v>
      </c>
      <c r="G99" s="98">
        <f>+'Plan de Adquisiciones '!G141</f>
        <v>247</v>
      </c>
      <c r="H99" s="97">
        <f>+'Plan de Adquisiciones '!H141</f>
        <v>0</v>
      </c>
      <c r="I99" s="97" t="str">
        <f>+'Plan de Adquisiciones '!I141</f>
        <v>Prestación de servicios profesionales para apoyar la gestión académica, logística y administrativa de las actividades culturales, académicas e incentivos, en el marco del Convenio 1452 de 2017 en su componente 5.</v>
      </c>
      <c r="J99" s="97">
        <f>+'Plan de Adquisiciones '!J141</f>
        <v>80111621</v>
      </c>
      <c r="K99" s="97" t="str">
        <f>+'Plan de Adquisiciones '!K141</f>
        <v>Asesor 105-02</v>
      </c>
      <c r="L99" s="97" t="str">
        <f>+'Plan de Adquisiciones '!L141</f>
        <v>María Isabel Ramírez</v>
      </c>
      <c r="M99" s="97" t="s">
        <v>503</v>
      </c>
      <c r="N99" s="97" t="str">
        <f>+'Plan de Adquisiciones '!N141</f>
        <v>Abril</v>
      </c>
      <c r="O99" s="97"/>
      <c r="P99" s="98">
        <f>+'Plan de Adquisiciones '!O141</f>
        <v>8</v>
      </c>
      <c r="Q99" s="97" t="str">
        <f>+'Plan de Adquisiciones '!P141</f>
        <v xml:space="preserve"> Contratación Directa</v>
      </c>
      <c r="R99" s="97" t="str">
        <f>+'Plan de Adquisiciones '!Q141</f>
        <v>Directa</v>
      </c>
      <c r="S99" s="107">
        <f>+'Plan de Adquisiciones '!R141</f>
        <v>0</v>
      </c>
      <c r="T99" s="107">
        <f>+'Plan de Adquisiciones '!S141</f>
        <v>36682979</v>
      </c>
      <c r="U99" s="107">
        <f>+'Plan de Adquisiciones '!T141</f>
        <v>36682979</v>
      </c>
      <c r="V99" s="98">
        <f>+'Plan de Adquisiciones '!U141</f>
        <v>1</v>
      </c>
      <c r="W99" s="107">
        <f>+'Plan de Adquisiciones '!V141</f>
        <v>0</v>
      </c>
      <c r="X99" s="107">
        <f>+'Plan de Adquisiciones '!W141</f>
        <v>36682979</v>
      </c>
      <c r="Y99" s="107">
        <f>+'Plan de Adquisiciones '!X141</f>
        <v>36682979</v>
      </c>
      <c r="Z99" s="106">
        <f>+'Plan de Adquisiciones '!Y141</f>
        <v>42844</v>
      </c>
      <c r="AA99" s="106" t="s">
        <v>63</v>
      </c>
      <c r="AB99" s="106"/>
      <c r="AC99" s="97">
        <f>+'Plan de Adquisiciones '!Z141</f>
        <v>50</v>
      </c>
      <c r="AD99" s="108" t="str">
        <f>+'Plan de Adquisiciones '!AA141</f>
        <v>OSCAR JULIO SEGURA MARTINEZ</v>
      </c>
    </row>
    <row r="100" spans="6:30" ht="90" x14ac:dyDescent="0.25">
      <c r="F100" s="97">
        <f>+'Plan de Adquisiciones '!F142</f>
        <v>0</v>
      </c>
      <c r="G100" s="98">
        <f>+'Plan de Adquisiciones '!G142</f>
        <v>254</v>
      </c>
      <c r="H100" s="97">
        <f>+'Plan de Adquisiciones '!H142</f>
        <v>0</v>
      </c>
      <c r="I100" s="97" t="str">
        <f>+'Plan de Adquisiciones '!I142</f>
        <v>Prestación de servicios para apoyar la participación de los maestros, maestras y directivos docentes del sector oficial en el 13er Congreso Nacional de Lectura: Iguales pero diversos, en el marco del Convenio 1452 de 2017.</v>
      </c>
      <c r="J100" s="97">
        <f>+'Plan de Adquisiciones '!J142</f>
        <v>80111621</v>
      </c>
      <c r="K100" s="97" t="str">
        <f>+'Plan de Adquisiciones '!K142</f>
        <v>Asesor 105-02</v>
      </c>
      <c r="L100" s="97" t="str">
        <f>+'Plan de Adquisiciones '!L142</f>
        <v>María Isabel Ramírez</v>
      </c>
      <c r="M100" s="97" t="s">
        <v>503</v>
      </c>
      <c r="N100" s="97" t="str">
        <f>+'Plan de Adquisiciones '!N142</f>
        <v>Abril</v>
      </c>
      <c r="O100" s="97"/>
      <c r="P100" s="98">
        <f>+'Plan de Adquisiciones '!O142</f>
        <v>1</v>
      </c>
      <c r="Q100" s="97" t="str">
        <f>+'Plan de Adquisiciones '!P142</f>
        <v xml:space="preserve"> Contratación Directa</v>
      </c>
      <c r="R100" s="97" t="str">
        <f>+'Plan de Adquisiciones '!Q142</f>
        <v>Directa</v>
      </c>
      <c r="S100" s="107">
        <f>+'Plan de Adquisiciones '!R142</f>
        <v>0</v>
      </c>
      <c r="T100" s="107">
        <f>+'Plan de Adquisiciones '!S142</f>
        <v>30000000</v>
      </c>
      <c r="U100" s="107">
        <f>+'Plan de Adquisiciones '!T142</f>
        <v>30000000</v>
      </c>
      <c r="V100" s="98">
        <f>+'Plan de Adquisiciones '!U142</f>
        <v>1</v>
      </c>
      <c r="W100" s="107">
        <f>+'Plan de Adquisiciones '!V142</f>
        <v>0</v>
      </c>
      <c r="X100" s="107">
        <f>+'Plan de Adquisiciones '!W142</f>
        <v>30000000</v>
      </c>
      <c r="Y100" s="107">
        <f>+'Plan de Adquisiciones '!X142</f>
        <v>30000000</v>
      </c>
      <c r="Z100" s="106">
        <f>+'Plan de Adquisiciones '!Y142</f>
        <v>42851</v>
      </c>
      <c r="AA100" s="106" t="s">
        <v>63</v>
      </c>
      <c r="AB100" s="106"/>
      <c r="AC100" s="97">
        <f>+'Plan de Adquisiciones '!Z142</f>
        <v>60</v>
      </c>
      <c r="AD100" s="108" t="str">
        <f>+'Plan de Adquisiciones '!AA142</f>
        <v>FUNDALECTURA</v>
      </c>
    </row>
    <row r="101" spans="6:30" ht="135" x14ac:dyDescent="0.25">
      <c r="F101" s="97" t="str">
        <f>+'Plan de Adquisiciones '!F153</f>
        <v>Sostenibilidad del SiG en el ámbito de los Subsistemas de Calidad  , Control interno, Seguridad de la Información y Gestión Documental y Archivo</v>
      </c>
      <c r="G101" s="98">
        <f>+'Plan de Adquisiciones '!G153</f>
        <v>180</v>
      </c>
      <c r="H101" s="97">
        <f>+'Plan de Adquisiciones '!H153</f>
        <v>0</v>
      </c>
      <c r="I101" s="97" t="str">
        <f>+'Plan de Adquisiciones '!I153</f>
        <v>Prestación de servicios profesionales para apoyar la implementación, monitoreo, soporte y sostenibilidad de los Subsistemas de Gestión de Calidad, Control Interno y Responsabilidad Social; así como para la implementación, monitoreo, soporte y sostenibilidad del Sistema Integrado de Gestión SIG del IDEP.</v>
      </c>
      <c r="J101" s="97">
        <f>+'Plan de Adquisiciones '!J153</f>
        <v>80111600</v>
      </c>
      <c r="K101" s="97" t="str">
        <f>+'Plan de Adquisiciones '!K153</f>
        <v>Jefe Oficina Asesora de Planeación</v>
      </c>
      <c r="L101" s="97" t="str">
        <f>+'Plan de Adquisiciones '!L153</f>
        <v>Jefe Oficina Asesora de Planeación</v>
      </c>
      <c r="M101" s="97" t="s">
        <v>504</v>
      </c>
      <c r="N101" s="97" t="str">
        <f>+'Plan de Adquisiciones '!N153</f>
        <v>Marzo</v>
      </c>
      <c r="O101" s="97"/>
      <c r="P101" s="98">
        <f>+'Plan de Adquisiciones '!O153</f>
        <v>10</v>
      </c>
      <c r="Q101" s="97" t="str">
        <f>+'Plan de Adquisiciones '!P153</f>
        <v xml:space="preserve"> Contratación Directa</v>
      </c>
      <c r="R101" s="97" t="str">
        <f>+'Plan de Adquisiciones '!Q153</f>
        <v>Directa</v>
      </c>
      <c r="S101" s="107">
        <f>+'Plan de Adquisiciones '!R153</f>
        <v>44250000</v>
      </c>
      <c r="T101" s="107">
        <f>+'Plan de Adquisiciones '!S153</f>
        <v>0</v>
      </c>
      <c r="U101" s="107">
        <f>+'Plan de Adquisiciones '!T153</f>
        <v>44250000</v>
      </c>
      <c r="V101" s="98">
        <f>+'Plan de Adquisiciones '!U153</f>
        <v>1</v>
      </c>
      <c r="W101" s="107">
        <f>+'Plan de Adquisiciones '!V153</f>
        <v>44250000</v>
      </c>
      <c r="X101" s="107">
        <f>+'Plan de Adquisiciones '!W153</f>
        <v>0</v>
      </c>
      <c r="Y101" s="107">
        <f>+'Plan de Adquisiciones '!X153</f>
        <v>44250000</v>
      </c>
      <c r="Z101" s="106">
        <f>+'Plan de Adquisiciones '!Y153</f>
        <v>42802</v>
      </c>
      <c r="AA101" s="106" t="s">
        <v>87</v>
      </c>
      <c r="AB101" s="106"/>
      <c r="AC101" s="97">
        <f>+'Plan de Adquisiciones '!Z153</f>
        <v>29</v>
      </c>
      <c r="AD101" s="108" t="str">
        <f>+'Plan de Adquisiciones '!AA153</f>
        <v>NELSON RODRIGUEZ BUITRAGO</v>
      </c>
    </row>
    <row r="102" spans="6:30" ht="90" x14ac:dyDescent="0.25">
      <c r="F102" s="97">
        <f>+'Plan de Adquisiciones '!F154</f>
        <v>0</v>
      </c>
      <c r="G102" s="98">
        <f>+'Plan de Adquisiciones '!G154</f>
        <v>181</v>
      </c>
      <c r="H102" s="97">
        <f>+'Plan de Adquisiciones '!H154</f>
        <v>0</v>
      </c>
      <c r="I102" s="97" t="str">
        <f>+'Plan de Adquisiciones '!I154</f>
        <v>Prestación de servicios profesionales para apoyar los procesos de planeación, control a la ejecución, seguimiento a la inversión y verificación de cumplimiento a las metas, proyectos, planes, programas e indicadores del IDEP.</v>
      </c>
      <c r="J102" s="97">
        <f>+'Plan de Adquisiciones '!J154</f>
        <v>80111600</v>
      </c>
      <c r="K102" s="97" t="str">
        <f>+'Plan de Adquisiciones '!K154</f>
        <v>Jefe Oficina Asesora de Planeación</v>
      </c>
      <c r="L102" s="97" t="str">
        <f>+'Plan de Adquisiciones '!L154</f>
        <v>Jefe Oficina Asesora de Planeación</v>
      </c>
      <c r="M102" s="97" t="s">
        <v>504</v>
      </c>
      <c r="N102" s="97" t="str">
        <f>+'Plan de Adquisiciones '!N154</f>
        <v>Marzo</v>
      </c>
      <c r="O102" s="97"/>
      <c r="P102" s="98">
        <f>+'Plan de Adquisiciones '!O154</f>
        <v>10</v>
      </c>
      <c r="Q102" s="97" t="str">
        <f>+'Plan de Adquisiciones '!P154</f>
        <v xml:space="preserve"> Contratación Directa</v>
      </c>
      <c r="R102" s="97" t="str">
        <f>+'Plan de Adquisiciones '!Q154</f>
        <v>Directa</v>
      </c>
      <c r="S102" s="107">
        <f>+'Plan de Adquisiciones '!R154</f>
        <v>43200000</v>
      </c>
      <c r="T102" s="107">
        <f>+'Plan de Adquisiciones '!S154</f>
        <v>0</v>
      </c>
      <c r="U102" s="107">
        <f>+'Plan de Adquisiciones '!T154</f>
        <v>43200000</v>
      </c>
      <c r="V102" s="98">
        <f>+'Plan de Adquisiciones '!U154</f>
        <v>1</v>
      </c>
      <c r="W102" s="107">
        <f>+'Plan de Adquisiciones '!V154</f>
        <v>43200000</v>
      </c>
      <c r="X102" s="107">
        <f>+'Plan de Adquisiciones '!W154</f>
        <v>0</v>
      </c>
      <c r="Y102" s="107">
        <f>+'Plan de Adquisiciones '!X154</f>
        <v>43200000</v>
      </c>
      <c r="Z102" s="106">
        <f>+'Plan de Adquisiciones '!Y154</f>
        <v>42808</v>
      </c>
      <c r="AA102" s="106" t="s">
        <v>87</v>
      </c>
      <c r="AB102" s="106"/>
      <c r="AC102" s="97">
        <f>+'Plan de Adquisiciones '!Z154</f>
        <v>36</v>
      </c>
      <c r="AD102" s="108" t="str">
        <f>+'Plan de Adquisiciones '!AA154</f>
        <v>CAROLINA ORTIZ TOVAR</v>
      </c>
    </row>
    <row r="103" spans="6:30" ht="123.75" x14ac:dyDescent="0.25">
      <c r="F103" s="97">
        <f>+'Plan de Adquisiciones '!F155</f>
        <v>0</v>
      </c>
      <c r="G103" s="98">
        <f>+'Plan de Adquisiciones '!G155</f>
        <v>186</v>
      </c>
      <c r="H103" s="97">
        <f>+'Plan de Adquisiciones '!H155</f>
        <v>0</v>
      </c>
      <c r="I103" s="97" t="str">
        <f>+'Plan de Adquisiciones '!I155</f>
        <v>Prestación de servicios profesionales para apoyar el seguimiento a los planes, proyectos, metas, indicadores del IDEP, así como para el cumplimiento de los procedimientos establecidos en el proceso de Dirección y Planeación que hace parte del Sistema Integrado de Gestión SIG.</v>
      </c>
      <c r="J103" s="97">
        <f>+'Plan de Adquisiciones '!J155</f>
        <v>80111600</v>
      </c>
      <c r="K103" s="97" t="str">
        <f>+'Plan de Adquisiciones '!K155</f>
        <v>Jefe Oficina Asesora de Planeación</v>
      </c>
      <c r="L103" s="97" t="str">
        <f>+'Plan de Adquisiciones '!L155</f>
        <v>Jefe Oficina Asesora de Planeación</v>
      </c>
      <c r="M103" s="97" t="s">
        <v>504</v>
      </c>
      <c r="N103" s="97" t="str">
        <f>+'Plan de Adquisiciones '!N155</f>
        <v>Marzo</v>
      </c>
      <c r="O103" s="97"/>
      <c r="P103" s="98">
        <f>+'Plan de Adquisiciones '!O155</f>
        <v>10</v>
      </c>
      <c r="Q103" s="97" t="str">
        <f>+'Plan de Adquisiciones '!P155</f>
        <v xml:space="preserve"> Contratación Directa</v>
      </c>
      <c r="R103" s="97" t="str">
        <f>+'Plan de Adquisiciones '!Q155</f>
        <v>Directa</v>
      </c>
      <c r="S103" s="107">
        <f>+'Plan de Adquisiciones '!R155</f>
        <v>37601667</v>
      </c>
      <c r="T103" s="107">
        <f>+'Plan de Adquisiciones '!S155</f>
        <v>0</v>
      </c>
      <c r="U103" s="107">
        <f>+'Plan de Adquisiciones '!T155</f>
        <v>37601667</v>
      </c>
      <c r="V103" s="98">
        <f>+'Plan de Adquisiciones '!U155</f>
        <v>1</v>
      </c>
      <c r="W103" s="107">
        <f>+'Plan de Adquisiciones '!V155</f>
        <v>37601667</v>
      </c>
      <c r="X103" s="107">
        <f>+'Plan de Adquisiciones '!W155</f>
        <v>0</v>
      </c>
      <c r="Y103" s="107">
        <f>+'Plan de Adquisiciones '!X155</f>
        <v>37601667</v>
      </c>
      <c r="Z103" s="106">
        <f>+'Plan de Adquisiciones '!Y155</f>
        <v>42803</v>
      </c>
      <c r="AA103" s="106" t="s">
        <v>87</v>
      </c>
      <c r="AB103" s="106"/>
      <c r="AC103" s="97">
        <f>+'Plan de Adquisiciones '!Z155</f>
        <v>31</v>
      </c>
      <c r="AD103" s="108" t="str">
        <f>+'Plan de Adquisiciones '!AA155</f>
        <v>VIVIANA MONROY PRECIADO</v>
      </c>
    </row>
    <row r="104" spans="6:30" ht="78.75" x14ac:dyDescent="0.25">
      <c r="F104" s="97">
        <f>+'Plan de Adquisiciones '!F156</f>
        <v>0</v>
      </c>
      <c r="G104" s="98">
        <f>+'Plan de Adquisiciones '!G156</f>
        <v>108</v>
      </c>
      <c r="H104" s="97">
        <f>+'Plan de Adquisiciones '!H156</f>
        <v>0</v>
      </c>
      <c r="I104" s="97" t="str">
        <f>+'Plan de Adquisiciones '!I156</f>
        <v>Prestación de servicios profesionales como abogado, para realizar la representacion judicial y extrajudicial de la entidad, y el apoyo jurÍdico en los diferentes procesos de la gestión jurídica y contractual.</v>
      </c>
      <c r="J104" s="97">
        <f>+'Plan de Adquisiciones '!J156</f>
        <v>80111600</v>
      </c>
      <c r="K104" s="97" t="str">
        <f>+'Plan de Adquisiciones '!K156</f>
        <v xml:space="preserve"> Asesor Oficina Juridica</v>
      </c>
      <c r="L104" s="97" t="str">
        <f>+'Plan de Adquisiciones '!L156</f>
        <v>Oficina Asesora Jurídica</v>
      </c>
      <c r="M104" s="97" t="s">
        <v>311</v>
      </c>
      <c r="N104" s="97" t="str">
        <f>+'Plan de Adquisiciones '!N156</f>
        <v>Marzo</v>
      </c>
      <c r="O104" s="97"/>
      <c r="P104" s="98">
        <f>+'Plan de Adquisiciones '!O156</f>
        <v>10</v>
      </c>
      <c r="Q104" s="97" t="str">
        <f>+'Plan de Adquisiciones '!P156</f>
        <v xml:space="preserve"> Contratación Directa</v>
      </c>
      <c r="R104" s="97" t="str">
        <f>+'Plan de Adquisiciones '!Q156</f>
        <v>Directa</v>
      </c>
      <c r="S104" s="107">
        <f>+'Plan de Adquisiciones '!R156</f>
        <v>70324410</v>
      </c>
      <c r="T104" s="107">
        <f>+'Plan de Adquisiciones '!S156</f>
        <v>0</v>
      </c>
      <c r="U104" s="107">
        <f>+'Plan de Adquisiciones '!T156</f>
        <v>70324410</v>
      </c>
      <c r="V104" s="98">
        <f>+'Plan de Adquisiciones '!U156</f>
        <v>1</v>
      </c>
      <c r="W104" s="107">
        <f>+'Plan de Adquisiciones '!V156</f>
        <v>70324410</v>
      </c>
      <c r="X104" s="107">
        <f>+'Plan de Adquisiciones '!W156</f>
        <v>0</v>
      </c>
      <c r="Y104" s="107">
        <f>+'Plan de Adquisiciones '!X156</f>
        <v>70324410</v>
      </c>
      <c r="Z104" s="106">
        <f>+'Plan de Adquisiciones '!Y156</f>
        <v>42793</v>
      </c>
      <c r="AA104" s="106" t="s">
        <v>51</v>
      </c>
      <c r="AB104" s="106"/>
      <c r="AC104" s="97">
        <f>+'Plan de Adquisiciones '!Z156</f>
        <v>7</v>
      </c>
      <c r="AD104" s="108" t="str">
        <f>+'Plan de Adquisiciones '!AA156</f>
        <v>EDISON BARRERO TORRES</v>
      </c>
    </row>
    <row r="105" spans="6:30" ht="56.25" x14ac:dyDescent="0.25">
      <c r="F105" s="97">
        <f>+'Plan de Adquisiciones '!F157</f>
        <v>0</v>
      </c>
      <c r="G105" s="98">
        <f>+'Plan de Adquisiciones '!G157</f>
        <v>109</v>
      </c>
      <c r="H105" s="97">
        <f>+'Plan de Adquisiciones '!H157</f>
        <v>0</v>
      </c>
      <c r="I105" s="97" t="str">
        <f>+'Plan de Adquisiciones '!I157</f>
        <v>Prestación de servicios profesionales como abogado para apoyar jurÍdicamente en los diferentes procesos de la gestión jurídica y contractual.</v>
      </c>
      <c r="J105" s="97">
        <f>+'Plan de Adquisiciones '!J157</f>
        <v>80111600</v>
      </c>
      <c r="K105" s="97" t="str">
        <f>+'Plan de Adquisiciones '!K157</f>
        <v xml:space="preserve"> Asesor Oficina Juridica</v>
      </c>
      <c r="L105" s="97" t="str">
        <f>+'Plan de Adquisiciones '!L157</f>
        <v>Oficina Asesora Jurídica</v>
      </c>
      <c r="M105" s="97" t="s">
        <v>311</v>
      </c>
      <c r="N105" s="97" t="str">
        <f>+'Plan de Adquisiciones '!N157</f>
        <v>Febrero</v>
      </c>
      <c r="O105" s="97"/>
      <c r="P105" s="98">
        <f>+'Plan de Adquisiciones '!O157</f>
        <v>10</v>
      </c>
      <c r="Q105" s="97" t="str">
        <f>+'Plan de Adquisiciones '!P157</f>
        <v xml:space="preserve"> Contratación Directa</v>
      </c>
      <c r="R105" s="97" t="str">
        <f>+'Plan de Adquisiciones '!Q157</f>
        <v>Directa</v>
      </c>
      <c r="S105" s="107">
        <f>+'Plan de Adquisiciones '!R157</f>
        <v>31500000</v>
      </c>
      <c r="T105" s="107">
        <f>+'Plan de Adquisiciones '!S157</f>
        <v>0</v>
      </c>
      <c r="U105" s="107">
        <f>+'Plan de Adquisiciones '!T157</f>
        <v>31500000</v>
      </c>
      <c r="V105" s="98">
        <f>+'Plan de Adquisiciones '!U157</f>
        <v>1</v>
      </c>
      <c r="W105" s="107">
        <f>+'Plan de Adquisiciones '!V157</f>
        <v>31500000</v>
      </c>
      <c r="X105" s="107">
        <f>+'Plan de Adquisiciones '!W157</f>
        <v>0</v>
      </c>
      <c r="Y105" s="107">
        <f>+'Plan de Adquisiciones '!X157</f>
        <v>31500000</v>
      </c>
      <c r="Z105" s="106">
        <f>+'Plan de Adquisiciones '!Y157</f>
        <v>42782</v>
      </c>
      <c r="AA105" s="106" t="s">
        <v>51</v>
      </c>
      <c r="AB105" s="106"/>
      <c r="AC105" s="97">
        <f>+'Plan de Adquisiciones '!Z157</f>
        <v>6</v>
      </c>
      <c r="AD105" s="108" t="str">
        <f>+'Plan de Adquisiciones '!AA157</f>
        <v>STEFANIA ORTEGA LUGO</v>
      </c>
    </row>
    <row r="106" spans="6:30" ht="168.75" x14ac:dyDescent="0.25">
      <c r="F106" s="97">
        <f>+'Plan de Adquisiciones '!F158</f>
        <v>0</v>
      </c>
      <c r="G106" s="98">
        <f>+'Plan de Adquisiciones '!G158</f>
        <v>189</v>
      </c>
      <c r="H106" s="97">
        <f>+'Plan de Adquisiciones '!H158</f>
        <v>0</v>
      </c>
      <c r="I106" s="97" t="str">
        <f>+'Plan de Adquisiciones '!I158</f>
        <v>Prestación de servicios profesionales para apoyar el levantamiento y documentación de procesos, procedimientos, manuales, instructivos, formatos, riesgos, indicadores y demás documentos e instrumentos requeridos para los procesos de la Entidad, como parte de las estrategias de implementación, monitoreo, soporte y sostenibilidad del Sistema Integrado de Gestión SIG del IDEP en el marco de la norma NTD-SIG 001:2011.</v>
      </c>
      <c r="J106" s="97">
        <f>+'Plan de Adquisiciones '!J158</f>
        <v>80111601</v>
      </c>
      <c r="K106" s="97" t="str">
        <f>+'Plan de Adquisiciones '!K158</f>
        <v>Jefe Oficina Asesora de Planeación</v>
      </c>
      <c r="L106" s="97" t="str">
        <f>+'Plan de Adquisiciones '!L158</f>
        <v>Jefe Oficina Asesora de Planeación</v>
      </c>
      <c r="M106" s="97" t="s">
        <v>504</v>
      </c>
      <c r="N106" s="97" t="str">
        <f>+'Plan de Adquisiciones '!N158</f>
        <v>Marzo</v>
      </c>
      <c r="O106" s="97"/>
      <c r="P106" s="98">
        <f>+'Plan de Adquisiciones '!O158</f>
        <v>2</v>
      </c>
      <c r="Q106" s="97" t="str">
        <f>+'Plan de Adquisiciones '!P158</f>
        <v xml:space="preserve"> Contratación Directa</v>
      </c>
      <c r="R106" s="97" t="str">
        <f>+'Plan de Adquisiciones '!Q158</f>
        <v>Directa</v>
      </c>
      <c r="S106" s="107">
        <f>+'Plan de Adquisiciones '!R158</f>
        <v>6000000</v>
      </c>
      <c r="T106" s="107">
        <f>+'Plan de Adquisiciones '!S158</f>
        <v>0</v>
      </c>
      <c r="U106" s="107">
        <f>+'Plan de Adquisiciones '!T158</f>
        <v>6000000</v>
      </c>
      <c r="V106" s="98">
        <f>+'Plan de Adquisiciones '!U158</f>
        <v>1</v>
      </c>
      <c r="W106" s="107">
        <f>+'Plan de Adquisiciones '!V158</f>
        <v>6000000</v>
      </c>
      <c r="X106" s="107">
        <f>+'Plan de Adquisiciones '!W158</f>
        <v>0</v>
      </c>
      <c r="Y106" s="107">
        <f>+'Plan de Adquisiciones '!X158</f>
        <v>6000000</v>
      </c>
      <c r="Z106" s="106">
        <f>+'Plan de Adquisiciones '!Y158</f>
        <v>42822</v>
      </c>
      <c r="AA106" s="106" t="s">
        <v>87</v>
      </c>
      <c r="AB106" s="106"/>
      <c r="AC106" s="97">
        <f>+'Plan de Adquisiciones '!Z158</f>
        <v>41</v>
      </c>
      <c r="AD106" s="108" t="str">
        <f>+'Plan de Adquisiciones '!AA158</f>
        <v>EMILIANO BRICEÑO CARDENAS</v>
      </c>
    </row>
    <row r="107" spans="6:30" ht="135" x14ac:dyDescent="0.25">
      <c r="F107" s="97">
        <f>+'Plan de Adquisiciones '!F159</f>
        <v>0</v>
      </c>
      <c r="G107" s="98">
        <f>+'Plan de Adquisiciones '!G159</f>
        <v>273</v>
      </c>
      <c r="H107" s="97">
        <f>+'Plan de Adquisiciones '!H159</f>
        <v>0</v>
      </c>
      <c r="I107" s="97" t="str">
        <f>+'Plan de Adquisiciones '!I159</f>
        <v>Prestación de servicios para el Suministro, instalación, configuración, licenciamiento, soporte técnico y puesta en marcha de una solución tecnológica Hiperconvergente</v>
      </c>
      <c r="J107" s="97" t="str">
        <f>+'Plan de Adquisiciones '!J159</f>
        <v>43201834
 43201835
43211501
 43211502
 43222501
 43222502
 43233203
 43233204
81112210
81112301
 81112305
81112501</v>
      </c>
      <c r="K107" s="97" t="str">
        <f>+'Plan de Adquisiciones '!K159</f>
        <v>Jefe Oficina Asesora de Planeación</v>
      </c>
      <c r="L107" s="97" t="str">
        <f>+'Plan de Adquisiciones '!L159</f>
        <v>Jefe Oficina Asesora de Planeación</v>
      </c>
      <c r="M107" s="97" t="s">
        <v>504</v>
      </c>
      <c r="N107" s="97" t="str">
        <f>+'Plan de Adquisiciones '!N159</f>
        <v>Agosto</v>
      </c>
      <c r="O107" s="97"/>
      <c r="P107" s="98">
        <f>+'Plan de Adquisiciones '!O159</f>
        <v>2</v>
      </c>
      <c r="Q107" s="97" t="str">
        <f>+'Plan de Adquisiciones '!P159</f>
        <v>Licitación Pública</v>
      </c>
      <c r="R107" s="97" t="str">
        <f>+'Plan de Adquisiciones '!Q159</f>
        <v>Licitación Pública</v>
      </c>
      <c r="S107" s="107">
        <f>+'Plan de Adquisiciones '!R159</f>
        <v>262321237</v>
      </c>
      <c r="T107" s="107">
        <f>+'Plan de Adquisiciones '!S159</f>
        <v>10224463</v>
      </c>
      <c r="U107" s="107">
        <f>+'Plan de Adquisiciones '!T159</f>
        <v>272545700</v>
      </c>
      <c r="V107" s="98">
        <f>+'Plan de Adquisiciones '!U159</f>
        <v>0</v>
      </c>
      <c r="W107" s="107">
        <f>+'Plan de Adquisiciones '!V159</f>
        <v>262321237</v>
      </c>
      <c r="X107" s="107">
        <f>+'Plan de Adquisiciones '!W159</f>
        <v>10224463</v>
      </c>
      <c r="Y107" s="107">
        <f>+'Plan de Adquisiciones '!X159</f>
        <v>272545700</v>
      </c>
      <c r="Z107" s="106"/>
      <c r="AA107" s="106"/>
      <c r="AB107" s="106"/>
      <c r="AC107" s="97">
        <f>+'Plan de Adquisiciones '!Z159</f>
        <v>110</v>
      </c>
      <c r="AD107" s="108" t="str">
        <f>+'Plan de Adquisiciones '!AA159</f>
        <v xml:space="preserve">SUMMIMAS S.A.S </v>
      </c>
    </row>
    <row r="108" spans="6:30" ht="90" x14ac:dyDescent="0.25">
      <c r="F108" s="97">
        <f>+'Plan de Adquisiciones '!F161</f>
        <v>0</v>
      </c>
      <c r="G108" s="98">
        <f>+'Plan de Adquisiciones '!G161</f>
        <v>113</v>
      </c>
      <c r="H108" s="97">
        <f>+'Plan de Adquisiciones '!H161</f>
        <v>0</v>
      </c>
      <c r="I108" s="97" t="str">
        <f>+'Plan de Adquisiciones '!I161</f>
        <v>Prestación de servicios profesionales para desarrollar acciones de  sostenibilidad, evaluación y seguimiento  del Sistema de Control Interno,  con el fin de promover  la eficacia y eficiencia de los  procesos del IDEP.</v>
      </c>
      <c r="J108" s="97">
        <f>+'Plan de Adquisiciones '!J161</f>
        <v>80111600</v>
      </c>
      <c r="K108" s="97" t="str">
        <f>+'Plan de Adquisiciones '!K161</f>
        <v>Jefe Oficina Asesora de Planeación</v>
      </c>
      <c r="L108" s="97" t="str">
        <f>+'Plan de Adquisiciones '!L161</f>
        <v>Jefe Oficina Asesora de Planeación</v>
      </c>
      <c r="M108" s="97" t="s">
        <v>504</v>
      </c>
      <c r="N108" s="97" t="str">
        <f>+'Plan de Adquisiciones '!N161</f>
        <v>Marzo</v>
      </c>
      <c r="O108" s="97"/>
      <c r="P108" s="98">
        <f>+'Plan de Adquisiciones '!O161</f>
        <v>10</v>
      </c>
      <c r="Q108" s="97" t="str">
        <f>+'Plan de Adquisiciones '!P161</f>
        <v xml:space="preserve"> Contratación Directa</v>
      </c>
      <c r="R108" s="97" t="str">
        <f>+'Plan de Adquisiciones '!Q161</f>
        <v>Directa</v>
      </c>
      <c r="S108" s="107">
        <f>+'Plan de Adquisiciones '!R161</f>
        <v>33566280</v>
      </c>
      <c r="T108" s="107">
        <f>+'Plan de Adquisiciones '!S161</f>
        <v>0</v>
      </c>
      <c r="U108" s="107">
        <f>+'Plan de Adquisiciones '!T161</f>
        <v>33566280</v>
      </c>
      <c r="V108" s="98">
        <f>+'Plan de Adquisiciones '!U161</f>
        <v>1</v>
      </c>
      <c r="W108" s="107">
        <f>+'Plan de Adquisiciones '!V161</f>
        <v>33566280</v>
      </c>
      <c r="X108" s="107">
        <f>+'Plan de Adquisiciones '!W161</f>
        <v>0</v>
      </c>
      <c r="Y108" s="107">
        <f>+'Plan de Adquisiciones '!X161</f>
        <v>33566280</v>
      </c>
      <c r="Z108" s="106">
        <f>+'Plan de Adquisiciones '!Y161</f>
        <v>42800</v>
      </c>
      <c r="AA108" s="106" t="s">
        <v>87</v>
      </c>
      <c r="AB108" s="106"/>
      <c r="AC108" s="97">
        <f>+'Plan de Adquisiciones '!Z161</f>
        <v>26</v>
      </c>
      <c r="AD108" s="108" t="str">
        <f>+'Plan de Adquisiciones '!AA161</f>
        <v>NADIA PINEDA SARMIENTO</v>
      </c>
    </row>
    <row r="109" spans="6:30" ht="45" x14ac:dyDescent="0.25">
      <c r="F109" s="97" t="e">
        <f>+'Plan de Adquisiciones '!#REF!</f>
        <v>#REF!</v>
      </c>
      <c r="G109" s="98" t="e">
        <f>+'Plan de Adquisiciones '!#REF!</f>
        <v>#REF!</v>
      </c>
      <c r="H109" s="97" t="e">
        <f>+'Plan de Adquisiciones '!#REF!</f>
        <v>#REF!</v>
      </c>
      <c r="I109" s="97" t="e">
        <f>+'Plan de Adquisiciones '!#REF!</f>
        <v>#REF!</v>
      </c>
      <c r="J109" s="97" t="e">
        <f>+'Plan de Adquisiciones '!#REF!</f>
        <v>#REF!</v>
      </c>
      <c r="K109" s="97" t="e">
        <f>+'Plan de Adquisiciones '!#REF!</f>
        <v>#REF!</v>
      </c>
      <c r="L109" s="141" t="e">
        <f>+'Plan de Adquisiciones '!#REF!</f>
        <v>#REF!</v>
      </c>
      <c r="M109" s="97" t="s">
        <v>504</v>
      </c>
      <c r="N109" s="97" t="e">
        <f>+'Plan de Adquisiciones '!#REF!</f>
        <v>#REF!</v>
      </c>
      <c r="O109" s="97" t="s">
        <v>480</v>
      </c>
      <c r="P109" s="98" t="e">
        <f>+'Plan de Adquisiciones '!#REF!</f>
        <v>#REF!</v>
      </c>
      <c r="Q109" s="97" t="e">
        <f>+'Plan de Adquisiciones '!#REF!</f>
        <v>#REF!</v>
      </c>
      <c r="R109" s="97" t="e">
        <f>+'Plan de Adquisiciones '!#REF!</f>
        <v>#REF!</v>
      </c>
      <c r="S109" s="107" t="e">
        <f>+'Plan de Adquisiciones '!#REF!</f>
        <v>#REF!</v>
      </c>
      <c r="T109" s="107" t="e">
        <f>+'Plan de Adquisiciones '!#REF!</f>
        <v>#REF!</v>
      </c>
      <c r="U109" s="107" t="e">
        <f>+'Plan de Adquisiciones '!#REF!</f>
        <v>#REF!</v>
      </c>
      <c r="V109" s="98" t="e">
        <f>+'Plan de Adquisiciones '!#REF!</f>
        <v>#REF!</v>
      </c>
      <c r="W109" s="107" t="e">
        <f>+'Plan de Adquisiciones '!#REF!</f>
        <v>#REF!</v>
      </c>
      <c r="X109" s="107" t="e">
        <f>+'Plan de Adquisiciones '!#REF!</f>
        <v>#REF!</v>
      </c>
      <c r="Y109" s="107" t="e">
        <f>+'Plan de Adquisiciones '!#REF!</f>
        <v>#REF!</v>
      </c>
      <c r="Z109" s="106"/>
      <c r="AA109" s="106"/>
      <c r="AB109" s="106"/>
      <c r="AC109" s="97" t="e">
        <f>+'Plan de Adquisiciones '!#REF!</f>
        <v>#REF!</v>
      </c>
      <c r="AD109" s="108" t="e">
        <f>+'Plan de Adquisiciones '!#REF!</f>
        <v>#REF!</v>
      </c>
    </row>
    <row r="110" spans="6:30" ht="56.25" x14ac:dyDescent="0.25">
      <c r="F110" s="97">
        <f>+'Plan de Adquisiciones '!F162</f>
        <v>0</v>
      </c>
      <c r="G110" s="98">
        <f>+'Plan de Adquisiciones '!G162</f>
        <v>114</v>
      </c>
      <c r="H110" s="97">
        <f>+'Plan de Adquisiciones '!H162</f>
        <v>0</v>
      </c>
      <c r="I110" s="97" t="str">
        <f>+'Plan de Adquisiciones '!I162</f>
        <v>Prestación de servicios para apoyar en la organización del  archivo de la entidad como gestión dentro del subsistema de gestión documental</v>
      </c>
      <c r="J110" s="97">
        <f>+'Plan de Adquisiciones '!J162</f>
        <v>80111600</v>
      </c>
      <c r="K110" s="97" t="str">
        <f>+'Plan de Adquisiciones '!K162</f>
        <v>Subdirector Administrativo</v>
      </c>
      <c r="L110" s="97" t="str">
        <f>+'Plan de Adquisiciones '!L162</f>
        <v>Subdirector Administrativo</v>
      </c>
      <c r="M110" s="97" t="s">
        <v>505</v>
      </c>
      <c r="N110" s="97" t="str">
        <f>+'Plan de Adquisiciones '!N162</f>
        <v>Marzo</v>
      </c>
      <c r="O110" s="97"/>
      <c r="P110" s="98">
        <f>+'Plan de Adquisiciones '!O162</f>
        <v>9</v>
      </c>
      <c r="Q110" s="97" t="str">
        <f>+'Plan de Adquisiciones '!P162</f>
        <v xml:space="preserve"> Contratación Directa</v>
      </c>
      <c r="R110" s="97" t="str">
        <f>+'Plan de Adquisiciones '!Q162</f>
        <v>Directa</v>
      </c>
      <c r="S110" s="107">
        <f>+'Plan de Adquisiciones '!R162</f>
        <v>19800000</v>
      </c>
      <c r="T110" s="107">
        <f>+'Plan de Adquisiciones '!S162</f>
        <v>0</v>
      </c>
      <c r="U110" s="107">
        <f>+'Plan de Adquisiciones '!T162</f>
        <v>19800000</v>
      </c>
      <c r="V110" s="98">
        <f>+'Plan de Adquisiciones '!U162</f>
        <v>1</v>
      </c>
      <c r="W110" s="107">
        <f>+'Plan de Adquisiciones '!V162</f>
        <v>19800000</v>
      </c>
      <c r="X110" s="107">
        <f>+'Plan de Adquisiciones '!W162</f>
        <v>0</v>
      </c>
      <c r="Y110" s="107">
        <f>+'Plan de Adquisiciones '!X162</f>
        <v>19800000</v>
      </c>
      <c r="Z110" s="106">
        <f>+'Plan de Adquisiciones '!Y162</f>
        <v>42807</v>
      </c>
      <c r="AA110" s="106" t="s">
        <v>87</v>
      </c>
      <c r="AB110" s="106"/>
      <c r="AC110" s="97">
        <f>+'Plan de Adquisiciones '!Z162</f>
        <v>34</v>
      </c>
      <c r="AD110" s="108" t="str">
        <f>+'Plan de Adquisiciones '!AA162</f>
        <v>LAURA RAMIREZ GARCIA</v>
      </c>
    </row>
    <row r="111" spans="6:30" ht="123.75" x14ac:dyDescent="0.25">
      <c r="F111" s="97">
        <f>+'Plan de Adquisiciones '!F163</f>
        <v>0</v>
      </c>
      <c r="G111" s="98">
        <f>+'Plan de Adquisiciones '!G163</f>
        <v>182</v>
      </c>
      <c r="H111" s="97">
        <f>+'Plan de Adquisiciones '!H163</f>
        <v>0</v>
      </c>
      <c r="I111" s="97" t="str">
        <f>+'Plan de Adquisiciones '!I163</f>
        <v>Prestación de servicios profesionales para apoyar el monitoreo, soporte, mantenimiento y sostenibilidad de los sistemas de información y la infraestructura tecnológica del IDEP y la implementación del Subsistema de Seguridad de la Información que hace parte del Sistema Integrado de Gestión de la entidad.</v>
      </c>
      <c r="J111" s="97">
        <f>+'Plan de Adquisiciones '!J163</f>
        <v>80111600</v>
      </c>
      <c r="K111" s="97" t="str">
        <f>+'Plan de Adquisiciones '!K163</f>
        <v>Jefe Oficina Asesora de Planeación</v>
      </c>
      <c r="L111" s="97" t="str">
        <f>+'Plan de Adquisiciones '!L163</f>
        <v>Jefe Oficina Asesora de Planeación</v>
      </c>
      <c r="M111" s="97" t="s">
        <v>504</v>
      </c>
      <c r="N111" s="97" t="str">
        <f>+'Plan de Adquisiciones '!N163</f>
        <v>Marzo</v>
      </c>
      <c r="O111" s="97"/>
      <c r="P111" s="98">
        <f>+'Plan de Adquisiciones '!O163</f>
        <v>10</v>
      </c>
      <c r="Q111" s="97" t="str">
        <f>+'Plan de Adquisiciones '!P163</f>
        <v xml:space="preserve"> Contratación Directa</v>
      </c>
      <c r="R111" s="97" t="str">
        <f>+'Plan de Adquisiciones '!Q163</f>
        <v>Directa</v>
      </c>
      <c r="S111" s="107">
        <f>+'Plan de Adquisiciones '!R163</f>
        <v>53547520</v>
      </c>
      <c r="T111" s="107">
        <f>+'Plan de Adquisiciones '!S163</f>
        <v>0</v>
      </c>
      <c r="U111" s="107">
        <f>+'Plan de Adquisiciones '!T163</f>
        <v>53547520</v>
      </c>
      <c r="V111" s="98">
        <f>+'Plan de Adquisiciones '!U163</f>
        <v>1</v>
      </c>
      <c r="W111" s="107">
        <f>+'Plan de Adquisiciones '!V163</f>
        <v>53547520</v>
      </c>
      <c r="X111" s="107">
        <f>+'Plan de Adquisiciones '!W163</f>
        <v>0</v>
      </c>
      <c r="Y111" s="107">
        <f>+'Plan de Adquisiciones '!X163</f>
        <v>53547520</v>
      </c>
      <c r="Z111" s="106">
        <f>+'Plan de Adquisiciones '!Y163</f>
        <v>42801</v>
      </c>
      <c r="AA111" s="106" t="s">
        <v>87</v>
      </c>
      <c r="AB111" s="106"/>
      <c r="AC111" s="97">
        <f>+'Plan de Adquisiciones '!Z163</f>
        <v>28</v>
      </c>
      <c r="AD111" s="108" t="str">
        <f>+'Plan de Adquisiciones '!AA163</f>
        <v>JAIME ACOSTA DIAZ</v>
      </c>
    </row>
    <row r="112" spans="6:30" ht="56.25" x14ac:dyDescent="0.25">
      <c r="F112" s="97" t="str">
        <f>+'Plan de Adquisiciones '!F166</f>
        <v>Sostenibilidad del SIG en el ámbito de los Subsistemas de la Gestión Ambiental , Seguridad y salud en el trabajo, y la Responsabilidad Social</v>
      </c>
      <c r="G112" s="98">
        <f>+'Plan de Adquisiciones '!G166</f>
        <v>185</v>
      </c>
      <c r="H112" s="97">
        <f>+'Plan de Adquisiciones '!H166</f>
        <v>0</v>
      </c>
      <c r="I112" s="97" t="str">
        <f>+'Plan de Adquisiciones '!I166</f>
        <v>Prestar servicios profesionales para apoyar en la gestión de los procesos asociados con el área de Talento Humano de la entidad.</v>
      </c>
      <c r="J112" s="97">
        <f>+'Plan de Adquisiciones '!J166</f>
        <v>80111600</v>
      </c>
      <c r="K112" s="97" t="str">
        <f>+'Plan de Adquisiciones '!K166</f>
        <v>Subdirector Administrativo</v>
      </c>
      <c r="L112" s="97" t="str">
        <f>+'Plan de Adquisiciones '!L166</f>
        <v>Subdirector Administrativo</v>
      </c>
      <c r="M112" s="97" t="s">
        <v>505</v>
      </c>
      <c r="N112" s="97" t="str">
        <f>+'Plan de Adquisiciones '!N166</f>
        <v>Marzo</v>
      </c>
      <c r="O112" s="97"/>
      <c r="P112" s="98">
        <f>+'Plan de Adquisiciones '!O166</f>
        <v>11</v>
      </c>
      <c r="Q112" s="97" t="str">
        <f>+'Plan de Adquisiciones '!P166</f>
        <v xml:space="preserve"> Contratación Directa</v>
      </c>
      <c r="R112" s="97" t="str">
        <f>+'Plan de Adquisiciones '!Q166</f>
        <v>Directa</v>
      </c>
      <c r="S112" s="107">
        <f>+'Plan de Adquisiciones '!R166</f>
        <v>39600000</v>
      </c>
      <c r="T112" s="107">
        <f>+'Plan de Adquisiciones '!S166</f>
        <v>0</v>
      </c>
      <c r="U112" s="107">
        <f>+'Plan de Adquisiciones '!T166</f>
        <v>39600000</v>
      </c>
      <c r="V112" s="98">
        <f>+'Plan de Adquisiciones '!U166</f>
        <v>1</v>
      </c>
      <c r="W112" s="107">
        <f>+'Plan de Adquisiciones '!V166</f>
        <v>39600000</v>
      </c>
      <c r="X112" s="107">
        <f>+'Plan de Adquisiciones '!W166</f>
        <v>0</v>
      </c>
      <c r="Y112" s="107">
        <f>+'Plan de Adquisiciones '!X166</f>
        <v>39600000</v>
      </c>
      <c r="Z112" s="106">
        <f>+'Plan de Adquisiciones '!Y166</f>
        <v>42808</v>
      </c>
      <c r="AA112" s="106" t="s">
        <v>87</v>
      </c>
      <c r="AB112" s="106"/>
      <c r="AC112" s="97">
        <f>+'Plan de Adquisiciones '!Z166</f>
        <v>35</v>
      </c>
      <c r="AD112" s="108" t="str">
        <f>+'Plan de Adquisiciones '!AA166</f>
        <v>DIEGO VARGAS VARGAS</v>
      </c>
    </row>
    <row r="113" spans="6:30" ht="146.25" x14ac:dyDescent="0.25">
      <c r="F113" s="97">
        <f>+'Plan de Adquisiciones '!F167</f>
        <v>0</v>
      </c>
      <c r="G113" s="98">
        <f>+'Plan de Adquisiciones '!G167</f>
        <v>259</v>
      </c>
      <c r="H113" s="97">
        <f>+'Plan de Adquisiciones '!H167</f>
        <v>0</v>
      </c>
      <c r="I113" s="97" t="str">
        <f>+'Plan de Adquisiciones '!I167</f>
        <v>Adición No. 01 contrato 111 de 2016 "Prestación de servicios profesionales para el acompañamiento en los procesos de transición e implementación del Nuevo Marco Normativo para Entidades del Gobierno, en convergencia con Normas Internacionales de Información Financiera NIIF y Normas Internacionales de Contabilidad para el Sector Público - NICSP".</v>
      </c>
      <c r="J113" s="97">
        <f>+'Plan de Adquisiciones '!J167</f>
        <v>80111600</v>
      </c>
      <c r="K113" s="97" t="str">
        <f>+'Plan de Adquisiciones '!K167</f>
        <v>Profesional 222-04</v>
      </c>
      <c r="L113" s="97" t="str">
        <f>+'Plan de Adquisiciones '!L167</f>
        <v>Profesional 222-05</v>
      </c>
      <c r="M113" s="97" t="s">
        <v>505</v>
      </c>
      <c r="N113" s="97" t="str">
        <f>+'Plan de Adquisiciones '!N167</f>
        <v>Mayo</v>
      </c>
      <c r="O113" s="97"/>
      <c r="P113" s="98">
        <f>+'Plan de Adquisiciones '!O167</f>
        <v>3</v>
      </c>
      <c r="Q113" s="97" t="str">
        <f>+'Plan de Adquisiciones '!P167</f>
        <v xml:space="preserve"> Contratación Directa</v>
      </c>
      <c r="R113" s="97" t="str">
        <f>+'Plan de Adquisiciones '!Q167</f>
        <v>Directa</v>
      </c>
      <c r="S113" s="107">
        <f>+'Plan de Adquisiciones '!R167</f>
        <v>10710000</v>
      </c>
      <c r="T113" s="107">
        <f>+'Plan de Adquisiciones '!S167</f>
        <v>0</v>
      </c>
      <c r="U113" s="107">
        <f>+'Plan de Adquisiciones '!T167</f>
        <v>10710000</v>
      </c>
      <c r="V113" s="98">
        <f>+'Plan de Adquisiciones '!U167</f>
        <v>0</v>
      </c>
      <c r="W113" s="107">
        <f>+'Plan de Adquisiciones '!V167</f>
        <v>10710000</v>
      </c>
      <c r="X113" s="107">
        <f>+'Plan de Adquisiciones '!W167</f>
        <v>0</v>
      </c>
      <c r="Y113" s="107">
        <f>+'Plan de Adquisiciones '!X167</f>
        <v>10710000</v>
      </c>
      <c r="Z113" s="106">
        <f>+'Plan de Adquisiciones '!Y167</f>
        <v>42866</v>
      </c>
      <c r="AA113" s="106" t="s">
        <v>56</v>
      </c>
      <c r="AB113" s="106"/>
      <c r="AC113" s="97">
        <f>+'Plan de Adquisiciones '!Z167</f>
        <v>111</v>
      </c>
      <c r="AD113" s="108" t="str">
        <f>+'Plan de Adquisiciones '!AA167</f>
        <v>DIEGO ARMANDO GUTIERREZ DIMATE</v>
      </c>
    </row>
    <row r="114" spans="6:30" ht="67.5" x14ac:dyDescent="0.25">
      <c r="F114" s="97">
        <f>+'Plan de Adquisiciones '!F168</f>
        <v>0</v>
      </c>
      <c r="G114" s="98">
        <f>+'Plan de Adquisiciones '!G168</f>
        <v>260</v>
      </c>
      <c r="H114" s="97">
        <f>+'Plan de Adquisiciones '!H168</f>
        <v>0</v>
      </c>
      <c r="I114" s="97" t="str">
        <f>+'Plan de Adquisiciones '!I168</f>
        <v>Prestación de servicios para apoyar el seguimiento a planes de mejoramiento, programas e indicadores de la subdirección Administrativa, Financiera y de Control Disciplinario.</v>
      </c>
      <c r="J114" s="97">
        <f>+'Plan de Adquisiciones '!J168</f>
        <v>80111600</v>
      </c>
      <c r="K114" s="97" t="str">
        <f>+'Plan de Adquisiciones '!K168</f>
        <v>Subdirector Administrativo</v>
      </c>
      <c r="L114" s="97" t="str">
        <f>+'Plan de Adquisiciones '!L168</f>
        <v>Subdirector Administrativo</v>
      </c>
      <c r="M114" s="97" t="s">
        <v>505</v>
      </c>
      <c r="N114" s="97" t="str">
        <f>+'Plan de Adquisiciones '!N168</f>
        <v>Mayo</v>
      </c>
      <c r="O114" s="97"/>
      <c r="P114" s="98">
        <f>+'Plan de Adquisiciones '!O168</f>
        <v>6</v>
      </c>
      <c r="Q114" s="97" t="str">
        <f>+'Plan de Adquisiciones '!P168</f>
        <v xml:space="preserve"> Contratación Directa</v>
      </c>
      <c r="R114" s="97" t="str">
        <f>+'Plan de Adquisiciones '!Q168</f>
        <v>Directa</v>
      </c>
      <c r="S114" s="107">
        <f>+'Plan de Adquisiciones '!R168</f>
        <v>20400000</v>
      </c>
      <c r="T114" s="107">
        <f>+'Plan de Adquisiciones '!S168</f>
        <v>0</v>
      </c>
      <c r="U114" s="107">
        <f>+'Plan de Adquisiciones '!T168</f>
        <v>20400000</v>
      </c>
      <c r="V114" s="98">
        <f>+'Plan de Adquisiciones '!U168</f>
        <v>1</v>
      </c>
      <c r="W114" s="107">
        <f>+'Plan de Adquisiciones '!V168</f>
        <v>20400000</v>
      </c>
      <c r="X114" s="107">
        <f>+'Plan de Adquisiciones '!W168</f>
        <v>0</v>
      </c>
      <c r="Y114" s="107">
        <f>+'Plan de Adquisiciones '!X168</f>
        <v>20400000</v>
      </c>
      <c r="Z114" s="106">
        <f>+'Plan de Adquisiciones '!Y168</f>
        <v>42885</v>
      </c>
      <c r="AA114" s="106" t="s">
        <v>56</v>
      </c>
      <c r="AB114" s="106"/>
      <c r="AC114" s="97">
        <f>+'Plan de Adquisiciones '!Z168</f>
        <v>90</v>
      </c>
      <c r="AD114" s="108" t="str">
        <f>+'Plan de Adquisiciones '!AA168</f>
        <v>MARÍA ANGÉLICA MARTÍNEZ VERGARA</v>
      </c>
    </row>
    <row r="115" spans="6:30" ht="90" x14ac:dyDescent="0.25">
      <c r="F115" s="97">
        <f>+'Plan de Adquisiciones '!F169</f>
        <v>0</v>
      </c>
      <c r="G115" s="98">
        <f>+'Plan de Adquisiciones '!G169</f>
        <v>296</v>
      </c>
      <c r="H115" s="97">
        <f>+'Plan de Adquisiciones '!H169</f>
        <v>0</v>
      </c>
      <c r="I115" s="97" t="str">
        <f>+'Plan de Adquisiciones '!I169</f>
        <v>Prestación de servicios para identificar, evaluar, prevenir, intervenir y monitorear la exposición a factores de riesgo psicosocial en el trabajo, en el marco de la implementación del Sistema de Seguridad y Salud en el trabajo</v>
      </c>
      <c r="J115" s="97">
        <f>+'Plan de Adquisiciones '!J169</f>
        <v>80111600</v>
      </c>
      <c r="K115" s="97" t="str">
        <f>+'Plan de Adquisiciones '!K169</f>
        <v>Subdirector Administrativo</v>
      </c>
      <c r="L115" s="97" t="str">
        <f>+'Plan de Adquisiciones '!L169</f>
        <v>Subdirector Administrativo</v>
      </c>
      <c r="M115" s="97" t="s">
        <v>505</v>
      </c>
      <c r="N115" s="97" t="str">
        <f>+'Plan de Adquisiciones '!N169</f>
        <v>Julio</v>
      </c>
      <c r="O115" s="97"/>
      <c r="P115" s="98">
        <f>+'Plan de Adquisiciones '!O169</f>
        <v>1</v>
      </c>
      <c r="Q115" s="97" t="str">
        <f>+'Plan de Adquisiciones '!P169</f>
        <v>Minima cuantia</v>
      </c>
      <c r="R115" s="97" t="str">
        <f>+'Plan de Adquisiciones '!Q169</f>
        <v>Minima Cuantia</v>
      </c>
      <c r="S115" s="107">
        <f>+'Plan de Adquisiciones '!R169</f>
        <v>1695000</v>
      </c>
      <c r="T115" s="107">
        <f>+'Plan de Adquisiciones '!S169</f>
        <v>0</v>
      </c>
      <c r="U115" s="107">
        <f>+'Plan de Adquisiciones '!T169</f>
        <v>1695000</v>
      </c>
      <c r="V115" s="98">
        <f>+'Plan de Adquisiciones '!U169</f>
        <v>0</v>
      </c>
      <c r="W115" s="107">
        <f>+'Plan de Adquisiciones '!V169</f>
        <v>1695000</v>
      </c>
      <c r="X115" s="107">
        <f>+'Plan de Adquisiciones '!W169</f>
        <v>0</v>
      </c>
      <c r="Y115" s="107">
        <f>+'Plan de Adquisiciones '!X169</f>
        <v>1695000</v>
      </c>
      <c r="Z115" s="106"/>
      <c r="AA115" s="106"/>
      <c r="AB115" s="106"/>
      <c r="AC115" s="97">
        <f>+'Plan de Adquisiciones '!Z169</f>
        <v>102</v>
      </c>
      <c r="AD115" s="108" t="str">
        <f>+'Plan de Adquisiciones '!AA169</f>
        <v>PSICONSULTING S.A.S</v>
      </c>
    </row>
    <row r="116" spans="6:30" ht="67.5" x14ac:dyDescent="0.25">
      <c r="F116" s="97">
        <f>+'Plan de Adquisiciones '!F171</f>
        <v>0</v>
      </c>
      <c r="G116" s="98">
        <f>+'Plan de Adquisiciones '!G171</f>
        <v>117</v>
      </c>
      <c r="H116" s="97">
        <f>+'Plan de Adquisiciones '!H171</f>
        <v>0</v>
      </c>
      <c r="I116" s="97" t="str">
        <f>+'Plan de Adquisiciones '!I171</f>
        <v>Prestacion de servicios profesionales para apoyar y gestionar las actividades relacionadas con el subsistema de Gestión Ambiental, y Seguridad y Salud en el Trabajo</v>
      </c>
      <c r="J116" s="97">
        <f>+'Plan de Adquisiciones '!J171</f>
        <v>80111600</v>
      </c>
      <c r="K116" s="97" t="str">
        <f>+'Plan de Adquisiciones '!K171</f>
        <v>Subdirector Administrativo</v>
      </c>
      <c r="L116" s="97" t="str">
        <f>+'Plan de Adquisiciones '!L171</f>
        <v>Subdirector Administrativo</v>
      </c>
      <c r="M116" s="97" t="s">
        <v>505</v>
      </c>
      <c r="N116" s="97" t="str">
        <f>+'Plan de Adquisiciones '!N139</f>
        <v>Agosto</v>
      </c>
      <c r="O116" s="97"/>
      <c r="P116" s="98">
        <f>+'Plan de Adquisiciones '!O171</f>
        <v>9</v>
      </c>
      <c r="Q116" s="97" t="str">
        <f>+'Plan de Adquisiciones '!P171</f>
        <v xml:space="preserve"> Contratación Directa</v>
      </c>
      <c r="R116" s="97" t="str">
        <f>+'Plan de Adquisiciones '!Q171</f>
        <v>Directa</v>
      </c>
      <c r="S116" s="107">
        <f>+'Plan de Adquisiciones '!R171</f>
        <v>30033333</v>
      </c>
      <c r="T116" s="107">
        <f>+'Plan de Adquisiciones '!S171</f>
        <v>0</v>
      </c>
      <c r="U116" s="107">
        <f>+'Plan de Adquisiciones '!T171</f>
        <v>30033333</v>
      </c>
      <c r="V116" s="98">
        <f>+'Plan de Adquisiciones '!U171</f>
        <v>1</v>
      </c>
      <c r="W116" s="107">
        <f>+'Plan de Adquisiciones '!V171</f>
        <v>30033333</v>
      </c>
      <c r="X116" s="107">
        <f>+'Plan de Adquisiciones '!W171</f>
        <v>0</v>
      </c>
      <c r="Y116" s="107">
        <f>+'Plan de Adquisiciones '!X171</f>
        <v>30033333</v>
      </c>
      <c r="Z116" s="106">
        <f>+'Plan de Adquisiciones '!Y171</f>
        <v>42832</v>
      </c>
      <c r="AA116" s="106" t="s">
        <v>63</v>
      </c>
      <c r="AB116" s="106"/>
      <c r="AC116" s="97">
        <f>+'Plan de Adquisiciones '!Z171</f>
        <v>43</v>
      </c>
      <c r="AD116" s="108" t="str">
        <f>+'Plan de Adquisiciones '!AA171</f>
        <v>MARIO GARCIA ANGEL</v>
      </c>
    </row>
    <row r="117" spans="6:30" x14ac:dyDescent="0.25">
      <c r="S117" s="105" t="e">
        <f t="shared" ref="S117:Y117" si="2">SUM(S3:S116)</f>
        <v>#REF!</v>
      </c>
      <c r="T117" s="105" t="e">
        <f t="shared" si="2"/>
        <v>#REF!</v>
      </c>
      <c r="U117" s="105" t="e">
        <f t="shared" si="2"/>
        <v>#REF!</v>
      </c>
      <c r="V117" s="105" t="e">
        <f t="shared" si="2"/>
        <v>#REF!</v>
      </c>
      <c r="W117" s="105" t="e">
        <f t="shared" si="2"/>
        <v>#REF!</v>
      </c>
      <c r="X117" s="105" t="e">
        <f t="shared" si="2"/>
        <v>#REF!</v>
      </c>
      <c r="Y117" s="105" t="e">
        <f t="shared" si="2"/>
        <v>#REF!</v>
      </c>
      <c r="Z117" s="105"/>
      <c r="AA117" s="105"/>
      <c r="AB117" s="105"/>
      <c r="AC117" s="105"/>
      <c r="AD117" s="105" t="e">
        <f>SUM(AD3:AD116)</f>
        <v>#REF!</v>
      </c>
    </row>
  </sheetData>
  <autoFilter ref="A2:CW116"/>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zoomScale="66" zoomScaleNormal="66" workbookViewId="0">
      <selection activeCell="A2" sqref="A2"/>
    </sheetView>
  </sheetViews>
  <sheetFormatPr baseColWidth="10" defaultRowHeight="15" x14ac:dyDescent="0.25"/>
  <cols>
    <col min="1" max="1" width="27.7109375" style="6" customWidth="1"/>
    <col min="2" max="2" width="42" style="6" customWidth="1"/>
    <col min="3" max="3" width="9.140625" style="6" customWidth="1"/>
    <col min="4" max="4" width="13.85546875" style="6" customWidth="1"/>
    <col min="5" max="5" width="64.7109375" style="6" customWidth="1"/>
    <col min="6" max="6" width="12.140625" style="6" customWidth="1"/>
    <col min="7" max="7" width="11.42578125" style="6"/>
    <col min="8" max="8" width="17.28515625" style="6" customWidth="1"/>
    <col min="9" max="9" width="16.85546875" style="6" customWidth="1"/>
    <col min="10" max="10" width="12.7109375" style="6" customWidth="1"/>
    <col min="11" max="11" width="20" style="6" customWidth="1"/>
    <col min="12" max="12" width="17.140625" style="6" customWidth="1"/>
    <col min="13" max="13" width="22.42578125" style="6" customWidth="1"/>
    <col min="14" max="14" width="23.5703125" style="6" customWidth="1"/>
    <col min="15" max="15" width="21.28515625" style="6" customWidth="1"/>
    <col min="16" max="16" width="11.42578125" style="6"/>
    <col min="17" max="17" width="21.140625" style="6" customWidth="1"/>
    <col min="18" max="18" width="11.5703125" style="6" bestFit="1" customWidth="1"/>
    <col min="19" max="19" width="21.140625" style="6" customWidth="1"/>
    <col min="20" max="21" width="11.42578125" style="6"/>
    <col min="22" max="22" width="19" style="6" customWidth="1"/>
    <col min="23" max="16384" width="11.42578125" style="6"/>
  </cols>
  <sheetData>
    <row r="1" spans="1:22" ht="48.75" customHeight="1" x14ac:dyDescent="0.25">
      <c r="A1" s="71" t="s">
        <v>302</v>
      </c>
      <c r="B1" s="53" t="s">
        <v>25</v>
      </c>
      <c r="C1" s="67" t="s">
        <v>183</v>
      </c>
      <c r="D1" s="67" t="s">
        <v>289</v>
      </c>
      <c r="E1" s="53" t="s">
        <v>6</v>
      </c>
      <c r="F1" s="53" t="s">
        <v>7</v>
      </c>
      <c r="G1" s="53" t="s">
        <v>8</v>
      </c>
      <c r="H1" s="58" t="s">
        <v>250</v>
      </c>
      <c r="I1" s="67" t="s">
        <v>10</v>
      </c>
      <c r="J1" s="67" t="s">
        <v>11</v>
      </c>
      <c r="K1" s="67" t="s">
        <v>217</v>
      </c>
      <c r="L1" s="67" t="s">
        <v>214</v>
      </c>
      <c r="M1" s="54" t="s">
        <v>1</v>
      </c>
      <c r="N1" s="55" t="s">
        <v>2</v>
      </c>
      <c r="O1" s="56" t="s">
        <v>3</v>
      </c>
      <c r="P1" s="57" t="s">
        <v>249</v>
      </c>
      <c r="Q1" s="81" t="s">
        <v>246</v>
      </c>
      <c r="R1" s="81" t="s">
        <v>247</v>
      </c>
      <c r="S1" s="52" t="s">
        <v>248</v>
      </c>
      <c r="T1" s="65" t="s">
        <v>222</v>
      </c>
      <c r="U1" s="66" t="s">
        <v>223</v>
      </c>
      <c r="V1" s="66" t="s">
        <v>224</v>
      </c>
    </row>
    <row r="2" spans="1:22" ht="90" x14ac:dyDescent="0.25">
      <c r="A2" s="1" t="s">
        <v>293</v>
      </c>
      <c r="B2" s="1" t="s">
        <v>125</v>
      </c>
      <c r="C2" s="1">
        <f>+'GASTOS GENERALES'!C9</f>
        <v>263</v>
      </c>
      <c r="D2" s="1">
        <f>+'GASTOS GENERALES'!D9</f>
        <v>1</v>
      </c>
      <c r="E2" s="1" t="str">
        <f>+'GASTOS GENERALES'!E9</f>
        <v>Compra de dotación  Integral (vestido y calzado de labor), que tienen derecho a ella por disposiciones de Ley para el año 2017</v>
      </c>
      <c r="F2" s="1">
        <f>+'GASTOS GENERALES'!F9</f>
        <v>93141506</v>
      </c>
      <c r="G2" s="1" t="str">
        <f>+'GASTOS GENERALES'!G9</f>
        <v>Profesional Especializado 222-03 
Área de Talento Humano</v>
      </c>
      <c r="H2" s="1" t="str">
        <f>+'GASTOS GENERALES'!H9</f>
        <v>Subdirección Administrativa financiera</v>
      </c>
      <c r="I2" s="1" t="str">
        <f>+'GASTOS GENERALES'!J9</f>
        <v>Mayo</v>
      </c>
      <c r="J2" s="1">
        <f>+'GASTOS GENERALES'!K9</f>
        <v>1</v>
      </c>
      <c r="K2" s="1" t="str">
        <f>+'GASTOS GENERALES'!L9</f>
        <v>TIENDA VIRTUAL - COLOMBIA COMPRA EFICIENTE</v>
      </c>
      <c r="L2" s="1" t="str">
        <f>+'GASTOS GENERALES'!M9</f>
        <v>Selección 
Abreviada</v>
      </c>
      <c r="M2" s="70">
        <f>+'GASTOS GENERALES'!N9</f>
        <v>1358990</v>
      </c>
      <c r="N2" s="117">
        <f>+'GASTOS GENERALES'!O9</f>
        <v>0</v>
      </c>
      <c r="O2" s="70">
        <f>+'GASTOS GENERALES'!P9</f>
        <v>1358990</v>
      </c>
      <c r="P2" s="1">
        <f>+'GASTOS GENERALES'!Q9</f>
        <v>1</v>
      </c>
      <c r="Q2" s="1">
        <f>+'GASTOS GENERALES'!R9</f>
        <v>1358990</v>
      </c>
      <c r="R2" s="1">
        <f>+'GASTOS GENERALES'!S9</f>
        <v>0</v>
      </c>
      <c r="S2" s="1">
        <f>+'GASTOS GENERALES'!T9</f>
        <v>1358990</v>
      </c>
      <c r="T2" s="1">
        <f>+'GASTOS GENERALES'!U9</f>
        <v>42873</v>
      </c>
      <c r="U2" s="1" t="str">
        <f>+'GASTOS GENERALES'!V9</f>
        <v>83-84-85-86</v>
      </c>
      <c r="V2" s="1" t="str">
        <f>+'GASTOS GENERALES'!W9</f>
        <v>varios</v>
      </c>
    </row>
    <row r="3" spans="1:22" ht="60.75" customHeight="1" x14ac:dyDescent="0.25">
      <c r="A3" s="1" t="s">
        <v>293</v>
      </c>
      <c r="B3" s="1" t="s">
        <v>292</v>
      </c>
      <c r="C3" s="1">
        <f>+'GASTOS GENERALES'!C14</f>
        <v>299</v>
      </c>
      <c r="D3" s="1">
        <f>+'GASTOS GENERALES'!D14</f>
        <v>4</v>
      </c>
      <c r="E3" s="1" t="str">
        <f>+'GASTOS GENERALES'!E14</f>
        <v>Prestación de servicios  de soporte y actualización del sistema de información administrativo y financiero  del IDEP</v>
      </c>
      <c r="F3" s="1">
        <f>+'GASTOS GENERALES'!F14</f>
        <v>81111811</v>
      </c>
      <c r="G3" s="1" t="str">
        <f>+'GASTOS GENERALES'!G14</f>
        <v>Jefe Oficina  Asesora de planeación</v>
      </c>
      <c r="H3" s="1" t="str">
        <f>+'GASTOS GENERALES'!H14</f>
        <v>Oficina Asesora de Planeación</v>
      </c>
      <c r="I3" s="1" t="str">
        <f>+'GASTOS GENERALES'!J14</f>
        <v>Noviembre</v>
      </c>
      <c r="J3" s="1">
        <f>+'GASTOS GENERALES'!K14</f>
        <v>9</v>
      </c>
      <c r="K3" s="1" t="str">
        <f>+'GASTOS GENERALES'!L14</f>
        <v>CONTRATACIÓN DIRECTA</v>
      </c>
      <c r="L3" s="1" t="str">
        <f>+'GASTOS GENERALES'!M14</f>
        <v>Contratación
 Directa</v>
      </c>
      <c r="M3" s="80">
        <f>+'GASTOS GENERALES'!N14</f>
        <v>44725555</v>
      </c>
      <c r="N3" s="80">
        <f>+'GASTOS GENERALES'!O14</f>
        <v>0</v>
      </c>
      <c r="O3" s="80">
        <f>+'GASTOS GENERALES'!P14</f>
        <v>44725555</v>
      </c>
      <c r="P3" s="1">
        <f>+'GASTOS GENERALES'!Q14</f>
        <v>0</v>
      </c>
      <c r="Q3" s="1">
        <f>+'GASTOS GENERALES'!R14</f>
        <v>44725555</v>
      </c>
      <c r="R3" s="1">
        <f>+'GASTOS GENERALES'!S14</f>
        <v>0</v>
      </c>
      <c r="S3" s="1">
        <f>+'GASTOS GENERALES'!T14</f>
        <v>44725555</v>
      </c>
      <c r="T3" s="1">
        <f>+'GASTOS GENERALES'!U14</f>
        <v>43062</v>
      </c>
      <c r="U3" s="1">
        <f>+'GASTOS GENERALES'!V14</f>
        <v>114</v>
      </c>
      <c r="V3" s="1" t="str">
        <f>+'GASTOS GENERALES'!W14</f>
        <v>IT GOP S.A.S</v>
      </c>
    </row>
    <row r="4" spans="1:22" ht="60.75" customHeight="1" x14ac:dyDescent="0.25">
      <c r="A4" s="1" t="s">
        <v>293</v>
      </c>
      <c r="B4" s="1" t="s">
        <v>292</v>
      </c>
      <c r="C4" s="1">
        <f>+'GASTOS GENERALES'!C16</f>
        <v>192</v>
      </c>
      <c r="D4" s="1"/>
      <c r="E4" s="1" t="str">
        <f>+'GASTOS GENERALES'!E16</f>
        <v>Adición No. 1 al contrato No. 34 de 2016 Prestación de servicio  de soporte y actualización del sistema de información administrativa y financiera SIAFI del IDEP</v>
      </c>
      <c r="F4" s="1">
        <f>+'GASTOS GENERALES'!F16</f>
        <v>81111811</v>
      </c>
      <c r="G4" s="1" t="str">
        <f>+'GASTOS GENERALES'!G16</f>
        <v>Jefe Oficina  Asesora de planeación</v>
      </c>
      <c r="H4" s="1" t="str">
        <f>+'GASTOS GENERALES'!H16</f>
        <v>Oficina Asesora de Planeación</v>
      </c>
      <c r="I4" s="1" t="str">
        <f>+'GASTOS GENERALES'!J16</f>
        <v>Marzo</v>
      </c>
      <c r="J4" s="1">
        <f>+'GASTOS GENERALES'!K16</f>
        <v>4</v>
      </c>
      <c r="K4" s="1" t="str">
        <f>+'GASTOS GENERALES'!L16</f>
        <v>CONTRATACIÓN DIRECTA</v>
      </c>
      <c r="L4" s="1" t="str">
        <f>+'GASTOS GENERALES'!M16</f>
        <v>Contratación
 Directa</v>
      </c>
      <c r="M4" s="80">
        <f>+'GASTOS GENERALES'!N16</f>
        <v>16660000</v>
      </c>
      <c r="N4" s="80">
        <f>+'GASTOS GENERALES'!O16</f>
        <v>0</v>
      </c>
      <c r="O4" s="80">
        <f>+'GASTOS GENERALES'!P16</f>
        <v>16660000</v>
      </c>
      <c r="P4" s="1">
        <f>+'GASTOS GENERALES'!Q16</f>
        <v>1</v>
      </c>
      <c r="Q4" s="80">
        <f>+'GASTOS GENERALES'!R16</f>
        <v>16660000</v>
      </c>
      <c r="R4" s="80">
        <f>+'GASTOS GENERALES'!S16</f>
        <v>0</v>
      </c>
      <c r="S4" s="80">
        <f>+'GASTOS GENERALES'!T16</f>
        <v>16660000</v>
      </c>
      <c r="T4" s="2">
        <f>+'GASTOS GENERALES'!U16</f>
        <v>42818</v>
      </c>
      <c r="U4" s="1">
        <f>+'GASTOS GENERALES'!V16</f>
        <v>34</v>
      </c>
      <c r="V4" s="1" t="str">
        <f>+'GASTOS GENERALES'!W16</f>
        <v>ITGO S.A.S</v>
      </c>
    </row>
    <row r="5" spans="1:22" ht="39" customHeight="1" x14ac:dyDescent="0.25">
      <c r="A5" s="1" t="s">
        <v>293</v>
      </c>
      <c r="B5" s="1" t="s">
        <v>292</v>
      </c>
      <c r="C5" s="1">
        <f>+'GASTOS GENERALES'!C17</f>
        <v>193</v>
      </c>
      <c r="D5" s="1">
        <f>+'GASTOS GENERALES'!D17</f>
        <v>6</v>
      </c>
      <c r="E5" s="1" t="str">
        <f>+'GASTOS GENERALES'!E17</f>
        <v>Prestación de servicio  de soporte, actualización y mantenimiento al sistema de información HUMANO</v>
      </c>
      <c r="F5" s="1">
        <f>+'GASTOS GENERALES'!F17</f>
        <v>81111811</v>
      </c>
      <c r="G5" s="1" t="str">
        <f>+'GASTOS GENERALES'!G17</f>
        <v>Jefe Oficina  Asesora de planeación</v>
      </c>
      <c r="H5" s="1" t="str">
        <f>+'GASTOS GENERALES'!H17</f>
        <v>Oficina Asesora de Planeación</v>
      </c>
      <c r="I5" s="1" t="str">
        <f>+'GASTOS GENERALES'!J17</f>
        <v>Abril</v>
      </c>
      <c r="J5" s="1">
        <f>+'GASTOS GENERALES'!K17</f>
        <v>12</v>
      </c>
      <c r="K5" s="1" t="str">
        <f>+'GASTOS GENERALES'!L17</f>
        <v>CONTRATACIÓN DIRECTA</v>
      </c>
      <c r="L5" s="1" t="str">
        <f>+'GASTOS GENERALES'!M17</f>
        <v>Contratación
 Directa</v>
      </c>
      <c r="M5" s="80">
        <f>+'GASTOS GENERALES'!N17</f>
        <v>18175685</v>
      </c>
      <c r="N5" s="80">
        <f>+'GASTOS GENERALES'!O17</f>
        <v>0</v>
      </c>
      <c r="O5" s="80">
        <f>+'GASTOS GENERALES'!P17</f>
        <v>18175685</v>
      </c>
      <c r="P5" s="1">
        <f>+'GASTOS GENERALES'!Q17</f>
        <v>1</v>
      </c>
      <c r="Q5" s="80">
        <f>+'GASTOS GENERALES'!R17</f>
        <v>18175685</v>
      </c>
      <c r="R5" s="80">
        <f>+'GASTOS GENERALES'!S17</f>
        <v>0</v>
      </c>
      <c r="S5" s="80">
        <f>+'GASTOS GENERALES'!T17</f>
        <v>18175685</v>
      </c>
      <c r="T5" s="2">
        <f>+'GASTOS GENERALES'!U17</f>
        <v>42822</v>
      </c>
      <c r="U5" s="1">
        <f>+'GASTOS GENERALES'!V17</f>
        <v>40</v>
      </c>
      <c r="V5" s="1" t="str">
        <f>+'GASTOS GENERALES'!W17</f>
        <v>SOPORTE LOGICO</v>
      </c>
    </row>
    <row r="6" spans="1:22" ht="58.5" customHeight="1" x14ac:dyDescent="0.25">
      <c r="A6" s="1" t="s">
        <v>293</v>
      </c>
      <c r="B6" s="1" t="s">
        <v>292</v>
      </c>
      <c r="C6" s="1">
        <f>+'GASTOS GENERALES'!C18</f>
        <v>9</v>
      </c>
      <c r="D6" s="1">
        <f>+'GASTOS GENERALES'!D18</f>
        <v>8</v>
      </c>
      <c r="E6" s="1" t="str">
        <f>+'GASTOS GENERALES'!E18</f>
        <v xml:space="preserve">Prestación de servicios para la renovación de la  licencia "Oracle Database Standard Edición - Processor Perpetual" con nivel de servicios "Software Update License &amp; Support" </v>
      </c>
      <c r="F6" s="1">
        <f>+'GASTOS GENERALES'!F18</f>
        <v>81112500</v>
      </c>
      <c r="G6" s="1" t="str">
        <f>+'GASTOS GENERALES'!G18</f>
        <v>Jefe Oficina  Asesora de planeación</v>
      </c>
      <c r="H6" s="1" t="str">
        <f>+'GASTOS GENERALES'!H18</f>
        <v>Oficina Asesora de Planeación</v>
      </c>
      <c r="I6" s="1" t="str">
        <f>+'GASTOS GENERALES'!J18</f>
        <v>Enero</v>
      </c>
      <c r="J6" s="1">
        <f>+'GASTOS GENERALES'!K18</f>
        <v>12</v>
      </c>
      <c r="K6" s="1" t="str">
        <f>+'GASTOS GENERALES'!L18</f>
        <v>TIENDA VIRTUAL - COLOMBIA COMPRA EFICIENTE</v>
      </c>
      <c r="L6" s="1" t="str">
        <f>+'GASTOS GENERALES'!M18</f>
        <v>Contratación
 Directa</v>
      </c>
      <c r="M6" s="80">
        <f>+'GASTOS GENERALES'!N18</f>
        <v>7647414</v>
      </c>
      <c r="N6" s="80">
        <f>+'GASTOS GENERALES'!O18</f>
        <v>0</v>
      </c>
      <c r="O6" s="80">
        <f>+'GASTOS GENERALES'!P18</f>
        <v>7647414</v>
      </c>
      <c r="P6" s="1">
        <f>+'GASTOS GENERALES'!Q18</f>
        <v>1</v>
      </c>
      <c r="Q6" s="80">
        <f>+'GASTOS GENERALES'!R18</f>
        <v>7647414</v>
      </c>
      <c r="R6" s="80">
        <f>+'GASTOS GENERALES'!S18</f>
        <v>0</v>
      </c>
      <c r="S6" s="80">
        <f>+'GASTOS GENERALES'!T18</f>
        <v>7647414</v>
      </c>
      <c r="T6" s="2">
        <f>+'GASTOS GENERALES'!U18</f>
        <v>42766</v>
      </c>
      <c r="U6" s="1">
        <f>+'GASTOS GENERALES'!V18</f>
        <v>4</v>
      </c>
      <c r="V6" s="1" t="str">
        <f>+'GASTOS GENERALES'!W18</f>
        <v>ORACLE COLOMBIA LTDA</v>
      </c>
    </row>
    <row r="7" spans="1:22" ht="58.5" customHeight="1" x14ac:dyDescent="0.25">
      <c r="A7" s="1" t="s">
        <v>293</v>
      </c>
      <c r="B7" s="1" t="s">
        <v>292</v>
      </c>
      <c r="C7" s="1" t="e">
        <f>+'GASTOS GENERALES'!#REF!</f>
        <v>#REF!</v>
      </c>
      <c r="D7" s="1" t="e">
        <f>+'GASTOS GENERALES'!#REF!</f>
        <v>#REF!</v>
      </c>
      <c r="E7" s="1" t="e">
        <f>+'GASTOS GENERALES'!#REF!</f>
        <v>#REF!</v>
      </c>
      <c r="F7" s="1" t="e">
        <f>+'GASTOS GENERALES'!#REF!</f>
        <v>#REF!</v>
      </c>
      <c r="G7" s="1" t="e">
        <f>+'GASTOS GENERALES'!#REF!</f>
        <v>#REF!</v>
      </c>
      <c r="H7" s="1" t="e">
        <f>+'GASTOS GENERALES'!#REF!</f>
        <v>#REF!</v>
      </c>
      <c r="I7" s="1" t="e">
        <f>+'GASTOS GENERALES'!#REF!</f>
        <v>#REF!</v>
      </c>
      <c r="J7" s="1" t="e">
        <f>+'GASTOS GENERALES'!#REF!</f>
        <v>#REF!</v>
      </c>
      <c r="K7" s="1" t="e">
        <f>+'GASTOS GENERALES'!#REF!</f>
        <v>#REF!</v>
      </c>
      <c r="L7" s="1" t="e">
        <f>+'GASTOS GENERALES'!#REF!</f>
        <v>#REF!</v>
      </c>
      <c r="M7" s="80" t="e">
        <f>+'GASTOS GENERALES'!#REF!</f>
        <v>#REF!</v>
      </c>
      <c r="N7" s="80" t="e">
        <f>+'GASTOS GENERALES'!#REF!</f>
        <v>#REF!</v>
      </c>
      <c r="O7" s="80" t="e">
        <f>+'GASTOS GENERALES'!#REF!</f>
        <v>#REF!</v>
      </c>
      <c r="P7" s="1" t="e">
        <f>+'GASTOS GENERALES'!#REF!</f>
        <v>#REF!</v>
      </c>
      <c r="Q7" s="80" t="e">
        <f>+'GASTOS GENERALES'!#REF!</f>
        <v>#REF!</v>
      </c>
      <c r="R7" s="80" t="e">
        <f>+'GASTOS GENERALES'!#REF!</f>
        <v>#REF!</v>
      </c>
      <c r="S7" s="80" t="e">
        <f>+'GASTOS GENERALES'!#REF!</f>
        <v>#REF!</v>
      </c>
      <c r="T7" s="2" t="e">
        <f>+'GASTOS GENERALES'!#REF!</f>
        <v>#REF!</v>
      </c>
      <c r="U7" s="1" t="e">
        <f>+'GASTOS GENERALES'!#REF!</f>
        <v>#REF!</v>
      </c>
      <c r="V7" s="1" t="e">
        <f>+'GASTOS GENERALES'!#REF!</f>
        <v>#REF!</v>
      </c>
    </row>
    <row r="8" spans="1:22" ht="45" x14ac:dyDescent="0.25">
      <c r="A8" s="1" t="s">
        <v>293</v>
      </c>
      <c r="B8" s="1" t="s">
        <v>292</v>
      </c>
      <c r="C8" s="1">
        <f>+'GASTOS GENERALES'!C19</f>
        <v>10</v>
      </c>
      <c r="D8" s="1">
        <f>+'GASTOS GENERALES'!D19</f>
        <v>9</v>
      </c>
      <c r="E8" s="1" t="str">
        <f>+'GASTOS GENERALES'!E19</f>
        <v>Prestación de servicio para realizar el mantenimiento preventivo y correctivo de la unidad de Aire Acondicionado del cuarto de Servidores del IDEP</v>
      </c>
      <c r="F8" s="1">
        <f>+'GASTOS GENERALES'!F19</f>
        <v>40101701</v>
      </c>
      <c r="G8" s="1" t="str">
        <f>+'GASTOS GENERALES'!G19</f>
        <v>Jefe Oficina  Asesora de planeación</v>
      </c>
      <c r="H8" s="1" t="str">
        <f>+'GASTOS GENERALES'!H19</f>
        <v>Oficina Asesora de Planeación</v>
      </c>
      <c r="I8" s="1" t="str">
        <f>+'GASTOS GENERALES'!J19</f>
        <v>Mayo</v>
      </c>
      <c r="J8" s="1">
        <f>+'GASTOS GENERALES'!K19</f>
        <v>12</v>
      </c>
      <c r="K8" s="1" t="str">
        <f>+'GASTOS GENERALES'!L19</f>
        <v>MINIMA CUANTÍA</v>
      </c>
      <c r="L8" s="1" t="str">
        <f>+'GASTOS GENERALES'!M19</f>
        <v>Minima cuantia</v>
      </c>
      <c r="M8" s="80">
        <f>+'GASTOS GENERALES'!N19</f>
        <v>1010000</v>
      </c>
      <c r="N8" s="80">
        <f>+'GASTOS GENERALES'!O19</f>
        <v>0</v>
      </c>
      <c r="O8" s="80">
        <f>+'GASTOS GENERALES'!P19</f>
        <v>1010000</v>
      </c>
      <c r="P8" s="1">
        <f>+'GASTOS GENERALES'!Q19</f>
        <v>1</v>
      </c>
      <c r="Q8" s="80">
        <f>+'GASTOS GENERALES'!R19</f>
        <v>1010000</v>
      </c>
      <c r="R8" s="80">
        <f>+'GASTOS GENERALES'!S19</f>
        <v>0</v>
      </c>
      <c r="S8" s="80">
        <f>+'GASTOS GENERALES'!T19</f>
        <v>1010000</v>
      </c>
      <c r="T8" s="2">
        <f>+'GASTOS GENERALES'!U19</f>
        <v>42867</v>
      </c>
      <c r="U8" s="1">
        <f>+'GASTOS GENERALES'!V19</f>
        <v>79</v>
      </c>
      <c r="V8" s="1" t="str">
        <f>+'GASTOS GENERALES'!W19</f>
        <v>CARLOS SOLANO REY</v>
      </c>
    </row>
    <row r="9" spans="1:22" x14ac:dyDescent="0.25">
      <c r="A9" s="1" t="s">
        <v>293</v>
      </c>
      <c r="B9" s="1" t="s">
        <v>292</v>
      </c>
      <c r="C9" s="1" t="e">
        <f>+'GASTOS GENERALES'!#REF!</f>
        <v>#REF!</v>
      </c>
      <c r="D9" s="1" t="e">
        <f>+'GASTOS GENERALES'!#REF!</f>
        <v>#REF!</v>
      </c>
      <c r="E9" s="82" t="e">
        <f>+'GASTOS GENERALES'!#REF!</f>
        <v>#REF!</v>
      </c>
      <c r="F9" s="82" t="e">
        <f>+'GASTOS GENERALES'!#REF!</f>
        <v>#REF!</v>
      </c>
      <c r="G9" s="82" t="e">
        <f>+'GASTOS GENERALES'!#REF!</f>
        <v>#REF!</v>
      </c>
      <c r="H9" s="82" t="e">
        <f>+'GASTOS GENERALES'!#REF!</f>
        <v>#REF!</v>
      </c>
      <c r="I9" s="82" t="e">
        <f>+'GASTOS GENERALES'!#REF!</f>
        <v>#REF!</v>
      </c>
      <c r="J9" s="82" t="e">
        <f>+'GASTOS GENERALES'!#REF!</f>
        <v>#REF!</v>
      </c>
      <c r="K9" s="82" t="e">
        <f>+'GASTOS GENERALES'!#REF!</f>
        <v>#REF!</v>
      </c>
      <c r="L9" s="82" t="e">
        <f>+'GASTOS GENERALES'!#REF!</f>
        <v>#REF!</v>
      </c>
      <c r="M9" s="121" t="e">
        <f>+'GASTOS GENERALES'!#REF!</f>
        <v>#REF!</v>
      </c>
      <c r="N9" s="121" t="e">
        <f>+'GASTOS GENERALES'!#REF!</f>
        <v>#REF!</v>
      </c>
      <c r="O9" s="121" t="e">
        <f>+'GASTOS GENERALES'!#REF!</f>
        <v>#REF!</v>
      </c>
      <c r="P9" s="1"/>
      <c r="Q9" s="80"/>
      <c r="R9" s="80"/>
      <c r="S9" s="80"/>
      <c r="T9" s="2"/>
      <c r="U9" s="1"/>
      <c r="V9" s="1"/>
    </row>
    <row r="10" spans="1:22" x14ac:dyDescent="0.25">
      <c r="A10" s="1" t="s">
        <v>293</v>
      </c>
      <c r="B10" s="1" t="s">
        <v>292</v>
      </c>
      <c r="C10" s="1" t="e">
        <f>+'GASTOS GENERALES'!#REF!</f>
        <v>#REF!</v>
      </c>
      <c r="D10" s="1" t="e">
        <f>+'GASTOS GENERALES'!#REF!</f>
        <v>#REF!</v>
      </c>
      <c r="E10" s="1" t="e">
        <f>+'GASTOS GENERALES'!#REF!</f>
        <v>#REF!</v>
      </c>
      <c r="F10" s="1" t="e">
        <f>+'GASTOS GENERALES'!#REF!</f>
        <v>#REF!</v>
      </c>
      <c r="G10" s="1" t="e">
        <f>+'GASTOS GENERALES'!#REF!</f>
        <v>#REF!</v>
      </c>
      <c r="H10" s="1" t="e">
        <f>+'GASTOS GENERALES'!#REF!</f>
        <v>#REF!</v>
      </c>
      <c r="I10" s="1" t="e">
        <f>+'GASTOS GENERALES'!#REF!</f>
        <v>#REF!</v>
      </c>
      <c r="J10" s="1" t="e">
        <f>+'GASTOS GENERALES'!#REF!</f>
        <v>#REF!</v>
      </c>
      <c r="K10" s="1" t="e">
        <f>+'GASTOS GENERALES'!#REF!</f>
        <v>#REF!</v>
      </c>
      <c r="L10" s="1" t="e">
        <f>+'GASTOS GENERALES'!#REF!</f>
        <v>#REF!</v>
      </c>
      <c r="M10" s="80" t="e">
        <f>+'GASTOS GENERALES'!#REF!</f>
        <v>#REF!</v>
      </c>
      <c r="N10" s="80" t="e">
        <f>+'GASTOS GENERALES'!#REF!</f>
        <v>#REF!</v>
      </c>
      <c r="O10" s="80" t="e">
        <f>+'GASTOS GENERALES'!#REF!</f>
        <v>#REF!</v>
      </c>
      <c r="P10" s="1" t="e">
        <f>+'GASTOS GENERALES'!#REF!</f>
        <v>#REF!</v>
      </c>
      <c r="Q10" s="80" t="e">
        <f>+'GASTOS GENERALES'!#REF!</f>
        <v>#REF!</v>
      </c>
      <c r="R10" s="80" t="e">
        <f>+'GASTOS GENERALES'!#REF!</f>
        <v>#REF!</v>
      </c>
      <c r="S10" s="80" t="e">
        <f>+'GASTOS GENERALES'!#REF!</f>
        <v>#REF!</v>
      </c>
      <c r="T10" s="2" t="e">
        <f>+'GASTOS GENERALES'!#REF!</f>
        <v>#REF!</v>
      </c>
      <c r="U10" s="1" t="e">
        <f>+'GASTOS GENERALES'!#REF!</f>
        <v>#REF!</v>
      </c>
      <c r="V10" s="1" t="e">
        <f>+'GASTOS GENERALES'!#REF!</f>
        <v>#REF!</v>
      </c>
    </row>
    <row r="11" spans="1:22" ht="39.75" customHeight="1" x14ac:dyDescent="0.25">
      <c r="A11" s="1" t="s">
        <v>293</v>
      </c>
      <c r="B11" s="1" t="s">
        <v>292</v>
      </c>
      <c r="C11" s="1">
        <f>+'GASTOS GENERALES'!C20</f>
        <v>12</v>
      </c>
      <c r="D11" s="1">
        <f>+'GASTOS GENERALES'!D20</f>
        <v>13</v>
      </c>
      <c r="E11" s="1" t="str">
        <f>+'GASTOS GENERALES'!E20</f>
        <v>Prestación de servicio para realizar
el mantenimiento preventivo y correctivo de los equipos que conforman la  plataforma tecnológica del IDEP.</v>
      </c>
      <c r="F11" s="1">
        <f>+'GASTOS GENERALES'!F20</f>
        <v>81111812</v>
      </c>
      <c r="G11" s="1" t="str">
        <f>+'GASTOS GENERALES'!G20</f>
        <v>Jefe Oficina  Asesora de planeación</v>
      </c>
      <c r="H11" s="1" t="str">
        <f>+'GASTOS GENERALES'!H20</f>
        <v>Oficina Asesora de Planeación</v>
      </c>
      <c r="I11" s="1" t="str">
        <f>+'GASTOS GENERALES'!J20</f>
        <v>Mayo</v>
      </c>
      <c r="J11" s="1">
        <f>+'GASTOS GENERALES'!K20</f>
        <v>11</v>
      </c>
      <c r="K11" s="1" t="str">
        <f>+'GASTOS GENERALES'!L20</f>
        <v>MINIMA CUANTÍA</v>
      </c>
      <c r="L11" s="1" t="str">
        <f>+'GASTOS GENERALES'!M20</f>
        <v>Mínima Cuantía</v>
      </c>
      <c r="M11" s="80">
        <f>+'GASTOS GENERALES'!N20</f>
        <v>5599360</v>
      </c>
      <c r="N11" s="80">
        <f>+'GASTOS GENERALES'!O20</f>
        <v>0</v>
      </c>
      <c r="O11" s="80">
        <f>+'GASTOS GENERALES'!P20</f>
        <v>5599360</v>
      </c>
      <c r="P11" s="1">
        <f>+'GASTOS GENERALES'!Q20</f>
        <v>1</v>
      </c>
      <c r="Q11" s="80">
        <f>+'GASTOS GENERALES'!R20</f>
        <v>5599360</v>
      </c>
      <c r="R11" s="80">
        <f>+'GASTOS GENERALES'!S20</f>
        <v>0</v>
      </c>
      <c r="S11" s="80">
        <f>+'GASTOS GENERALES'!T20</f>
        <v>5599360</v>
      </c>
      <c r="T11" s="2">
        <f>+'GASTOS GENERALES'!U20</f>
        <v>42867</v>
      </c>
      <c r="U11" s="1">
        <f>+'GASTOS GENERALES'!V20</f>
        <v>80</v>
      </c>
      <c r="V11" s="1" t="str">
        <f>+'GASTOS GENERALES'!W20</f>
        <v>AA MANTENIMIENTO Y COMPUTADORES S.A.S.</v>
      </c>
    </row>
    <row r="12" spans="1:22" ht="39.75" customHeight="1" x14ac:dyDescent="0.25">
      <c r="A12" s="1" t="s">
        <v>293</v>
      </c>
      <c r="B12" s="1" t="s">
        <v>292</v>
      </c>
      <c r="C12" s="1" t="e">
        <f>+'GASTOS GENERALES'!#REF!</f>
        <v>#REF!</v>
      </c>
      <c r="D12" s="1" t="e">
        <f>+'GASTOS GENERALES'!#REF!</f>
        <v>#REF!</v>
      </c>
      <c r="E12" s="82" t="s">
        <v>480</v>
      </c>
      <c r="F12" s="82">
        <v>81111812</v>
      </c>
      <c r="G12" s="82" t="s">
        <v>53</v>
      </c>
      <c r="H12" s="82" t="s">
        <v>310</v>
      </c>
      <c r="I12" s="82" t="s">
        <v>56</v>
      </c>
      <c r="J12" s="82">
        <v>11</v>
      </c>
      <c r="K12" s="82" t="s">
        <v>211</v>
      </c>
      <c r="L12" s="82" t="s">
        <v>97</v>
      </c>
      <c r="M12" s="121" t="e">
        <f>+'GASTOS GENERALES'!#REF!</f>
        <v>#REF!</v>
      </c>
      <c r="N12" s="121" t="e">
        <f>+'GASTOS GENERALES'!#REF!</f>
        <v>#REF!</v>
      </c>
      <c r="O12" s="121" t="e">
        <f>+'GASTOS GENERALES'!#REF!</f>
        <v>#REF!</v>
      </c>
      <c r="P12" s="1"/>
      <c r="Q12" s="80"/>
      <c r="R12" s="80"/>
      <c r="S12" s="80"/>
      <c r="T12" s="2"/>
      <c r="U12" s="1"/>
      <c r="V12" s="1"/>
    </row>
    <row r="13" spans="1:22" ht="61.5" customHeight="1" x14ac:dyDescent="0.25">
      <c r="A13" s="1" t="s">
        <v>293</v>
      </c>
      <c r="B13" s="1" t="s">
        <v>292</v>
      </c>
      <c r="C13" s="1" t="e">
        <f>+'GASTOS GENERALES'!#REF!</f>
        <v>#REF!</v>
      </c>
      <c r="D13" s="1" t="e">
        <f>+'GASTOS GENERALES'!#REF!</f>
        <v>#REF!</v>
      </c>
      <c r="E13" s="1" t="e">
        <f>+'GASTOS GENERALES'!#REF!</f>
        <v>#REF!</v>
      </c>
      <c r="F13" s="1" t="e">
        <f>+'GASTOS GENERALES'!#REF!</f>
        <v>#REF!</v>
      </c>
      <c r="G13" s="1" t="e">
        <f>+'GASTOS GENERALES'!#REF!</f>
        <v>#REF!</v>
      </c>
      <c r="H13" s="1" t="e">
        <f>+'GASTOS GENERALES'!#REF!</f>
        <v>#REF!</v>
      </c>
      <c r="I13" s="1" t="e">
        <f>+'GASTOS GENERALES'!#REF!</f>
        <v>#REF!</v>
      </c>
      <c r="J13" s="1" t="e">
        <f>+'GASTOS GENERALES'!#REF!</f>
        <v>#REF!</v>
      </c>
      <c r="K13" s="1" t="e">
        <f>+'GASTOS GENERALES'!#REF!</f>
        <v>#REF!</v>
      </c>
      <c r="L13" s="1" t="e">
        <f>+'GASTOS GENERALES'!#REF!</f>
        <v>#REF!</v>
      </c>
      <c r="M13" s="80" t="e">
        <f>+'GASTOS GENERALES'!#REF!</f>
        <v>#REF!</v>
      </c>
      <c r="N13" s="80" t="e">
        <f>+'GASTOS GENERALES'!#REF!</f>
        <v>#REF!</v>
      </c>
      <c r="O13" s="80" t="e">
        <f>+'GASTOS GENERALES'!#REF!</f>
        <v>#REF!</v>
      </c>
      <c r="P13" s="1" t="e">
        <f>+'GASTOS GENERALES'!#REF!</f>
        <v>#REF!</v>
      </c>
      <c r="Q13" s="80" t="e">
        <f>+'GASTOS GENERALES'!#REF!</f>
        <v>#REF!</v>
      </c>
      <c r="R13" s="80" t="e">
        <f>+'GASTOS GENERALES'!#REF!</f>
        <v>#REF!</v>
      </c>
      <c r="S13" s="80" t="e">
        <f>+'GASTOS GENERALES'!#REF!</f>
        <v>#REF!</v>
      </c>
      <c r="T13" s="2" t="e">
        <f>+'GASTOS GENERALES'!#REF!</f>
        <v>#REF!</v>
      </c>
      <c r="U13" s="1" t="e">
        <f>+'GASTOS GENERALES'!#REF!</f>
        <v>#REF!</v>
      </c>
      <c r="V13" s="1" t="e">
        <f>+'GASTOS GENERALES'!#REF!</f>
        <v>#REF!</v>
      </c>
    </row>
    <row r="14" spans="1:22" ht="61.5" customHeight="1" x14ac:dyDescent="0.25">
      <c r="A14" s="1" t="s">
        <v>293</v>
      </c>
      <c r="B14" s="1" t="s">
        <v>292</v>
      </c>
      <c r="C14" s="1" t="e">
        <f>+'GASTOS GENERALES'!#REF!</f>
        <v>#REF!</v>
      </c>
      <c r="D14" s="1" t="e">
        <f>+'GASTOS GENERALES'!#REF!</f>
        <v>#REF!</v>
      </c>
      <c r="E14" s="1" t="e">
        <f>+'GASTOS GENERALES'!#REF!</f>
        <v>#REF!</v>
      </c>
      <c r="F14" s="1" t="e">
        <f>+'GASTOS GENERALES'!#REF!</f>
        <v>#REF!</v>
      </c>
      <c r="G14" s="1" t="e">
        <f>+'GASTOS GENERALES'!#REF!</f>
        <v>#REF!</v>
      </c>
      <c r="H14" s="1" t="e">
        <f>+'GASTOS GENERALES'!#REF!</f>
        <v>#REF!</v>
      </c>
      <c r="I14" s="1" t="e">
        <f>+'GASTOS GENERALES'!#REF!</f>
        <v>#REF!</v>
      </c>
      <c r="J14" s="1" t="e">
        <f>+'GASTOS GENERALES'!#REF!</f>
        <v>#REF!</v>
      </c>
      <c r="K14" s="1" t="e">
        <f>+'GASTOS GENERALES'!#REF!</f>
        <v>#REF!</v>
      </c>
      <c r="L14" s="1" t="e">
        <f>+'GASTOS GENERALES'!#REF!</f>
        <v>#REF!</v>
      </c>
      <c r="M14" s="80" t="e">
        <f>+'GASTOS GENERALES'!#REF!</f>
        <v>#REF!</v>
      </c>
      <c r="N14" s="80" t="e">
        <f>+'GASTOS GENERALES'!#REF!</f>
        <v>#REF!</v>
      </c>
      <c r="O14" s="80" t="e">
        <f>+'GASTOS GENERALES'!#REF!</f>
        <v>#REF!</v>
      </c>
      <c r="P14" s="1" t="e">
        <f>+'GASTOS GENERALES'!#REF!</f>
        <v>#REF!</v>
      </c>
      <c r="Q14" s="80" t="e">
        <f>+'GASTOS GENERALES'!#REF!</f>
        <v>#REF!</v>
      </c>
      <c r="R14" s="80" t="e">
        <f>+'GASTOS GENERALES'!#REF!</f>
        <v>#REF!</v>
      </c>
      <c r="S14" s="80" t="e">
        <f>+'GASTOS GENERALES'!#REF!</f>
        <v>#REF!</v>
      </c>
      <c r="T14" s="2" t="e">
        <f>+'GASTOS GENERALES'!#REF!</f>
        <v>#REF!</v>
      </c>
      <c r="U14" s="1" t="e">
        <f>+'GASTOS GENERALES'!#REF!</f>
        <v>#REF!</v>
      </c>
      <c r="V14" s="1" t="e">
        <f>+'GASTOS GENERALES'!#REF!</f>
        <v>#REF!</v>
      </c>
    </row>
    <row r="15" spans="1:22" ht="45" x14ac:dyDescent="0.25">
      <c r="A15" s="1" t="s">
        <v>293</v>
      </c>
      <c r="B15" s="1" t="s">
        <v>292</v>
      </c>
      <c r="C15" s="1">
        <f>+'GASTOS GENERALES'!C21</f>
        <v>15</v>
      </c>
      <c r="D15" s="1">
        <f>+'GASTOS GENERALES'!D21</f>
        <v>11</v>
      </c>
      <c r="E15" s="1" t="str">
        <f>+'GASTOS GENERALES'!E21</f>
        <v>Prestación de servicios para la adquisición de licencias Google Apps</v>
      </c>
      <c r="F15" s="1">
        <f>+'GASTOS GENERALES'!F21</f>
        <v>81112501</v>
      </c>
      <c r="G15" s="1" t="str">
        <f>+'GASTOS GENERALES'!G21</f>
        <v>Jefe Oficina  Asesora de planeación</v>
      </c>
      <c r="H15" s="1" t="str">
        <f>+'GASTOS GENERALES'!H21</f>
        <v>Oficina Asesora de Planeación</v>
      </c>
      <c r="I15" s="1" t="str">
        <f>+'GASTOS GENERALES'!J21</f>
        <v>Abril</v>
      </c>
      <c r="J15" s="1">
        <f>+'GASTOS GENERALES'!K21</f>
        <v>8</v>
      </c>
      <c r="K15" s="1" t="str">
        <f>+'GASTOS GENERALES'!L21</f>
        <v>TIENDA VIRTUAL - COLOMBIA COMPRA EFICIENTE</v>
      </c>
      <c r="L15" s="1" t="str">
        <f>+'GASTOS GENERALES'!M21</f>
        <v>Selección
 Abreviada</v>
      </c>
      <c r="M15" s="80">
        <f>+'GASTOS GENERALES'!N21</f>
        <v>14950762</v>
      </c>
      <c r="N15" s="80">
        <f>+'GASTOS GENERALES'!O21</f>
        <v>0</v>
      </c>
      <c r="O15" s="80">
        <f>+'GASTOS GENERALES'!P21</f>
        <v>14950762</v>
      </c>
      <c r="P15" s="1">
        <f>+'GASTOS GENERALES'!Q21</f>
        <v>1</v>
      </c>
      <c r="Q15" s="80">
        <f>+'GASTOS GENERALES'!R21</f>
        <v>14950762</v>
      </c>
      <c r="R15" s="80">
        <f>+'GASTOS GENERALES'!S21</f>
        <v>0</v>
      </c>
      <c r="S15" s="80">
        <f>+'GASTOS GENERALES'!T21</f>
        <v>14950762</v>
      </c>
      <c r="T15" s="2">
        <f>+'GASTOS GENERALES'!U21</f>
        <v>42832</v>
      </c>
      <c r="U15" s="1">
        <f>+'GASTOS GENERALES'!V21</f>
        <v>44</v>
      </c>
      <c r="V15" s="1" t="str">
        <f>+'GASTOS GENERALES'!W21</f>
        <v>EFORCERS</v>
      </c>
    </row>
    <row r="16" spans="1:22" ht="49.5" customHeight="1" x14ac:dyDescent="0.25">
      <c r="A16" s="1" t="s">
        <v>293</v>
      </c>
      <c r="B16" s="1" t="s">
        <v>292</v>
      </c>
      <c r="C16" s="1" t="e">
        <f>+'GASTOS GENERALES'!#REF!</f>
        <v>#REF!</v>
      </c>
      <c r="D16" s="1" t="e">
        <f>+'GASTOS GENERALES'!#REF!</f>
        <v>#REF!</v>
      </c>
      <c r="E16" s="1" t="e">
        <f>+'GASTOS GENERALES'!#REF!</f>
        <v>#REF!</v>
      </c>
      <c r="F16" s="1" t="e">
        <f>+'GASTOS GENERALES'!#REF!</f>
        <v>#REF!</v>
      </c>
      <c r="G16" s="1" t="e">
        <f>+'GASTOS GENERALES'!#REF!</f>
        <v>#REF!</v>
      </c>
      <c r="H16" s="1" t="e">
        <f>+'GASTOS GENERALES'!#REF!</f>
        <v>#REF!</v>
      </c>
      <c r="I16" s="1" t="e">
        <f>+'GASTOS GENERALES'!#REF!</f>
        <v>#REF!</v>
      </c>
      <c r="J16" s="1" t="e">
        <f>+'GASTOS GENERALES'!#REF!</f>
        <v>#REF!</v>
      </c>
      <c r="K16" s="1" t="e">
        <f>+'GASTOS GENERALES'!#REF!</f>
        <v>#REF!</v>
      </c>
      <c r="L16" s="1" t="e">
        <f>+'GASTOS GENERALES'!#REF!</f>
        <v>#REF!</v>
      </c>
      <c r="M16" s="80" t="e">
        <f>+'GASTOS GENERALES'!#REF!</f>
        <v>#REF!</v>
      </c>
      <c r="N16" s="80" t="e">
        <f>+'GASTOS GENERALES'!#REF!</f>
        <v>#REF!</v>
      </c>
      <c r="O16" s="80" t="e">
        <f>+'GASTOS GENERALES'!#REF!</f>
        <v>#REF!</v>
      </c>
      <c r="P16" s="1" t="e">
        <f>+'GASTOS GENERALES'!#REF!</f>
        <v>#REF!</v>
      </c>
      <c r="Q16" s="80" t="e">
        <f>+'GASTOS GENERALES'!#REF!</f>
        <v>#REF!</v>
      </c>
      <c r="R16" s="80" t="e">
        <f>+'GASTOS GENERALES'!#REF!</f>
        <v>#REF!</v>
      </c>
      <c r="S16" s="80" t="e">
        <f>+'GASTOS GENERALES'!#REF!</f>
        <v>#REF!</v>
      </c>
      <c r="T16" s="2" t="e">
        <f>+'GASTOS GENERALES'!#REF!</f>
        <v>#REF!</v>
      </c>
      <c r="U16" s="1" t="e">
        <f>+'GASTOS GENERALES'!#REF!</f>
        <v>#REF!</v>
      </c>
      <c r="V16" s="1" t="e">
        <f>+'GASTOS GENERALES'!#REF!</f>
        <v>#REF!</v>
      </c>
    </row>
    <row r="17" spans="1:22" ht="50.25" customHeight="1" x14ac:dyDescent="0.25">
      <c r="A17" s="1" t="s">
        <v>293</v>
      </c>
      <c r="B17" s="1" t="str">
        <f>+'GASTOS GENERALES'!B27</f>
        <v>Combustibles, lubricantes y llantas</v>
      </c>
      <c r="C17" s="1">
        <f>+'GASTOS GENERALES'!C27</f>
        <v>312</v>
      </c>
      <c r="D17" s="1">
        <f>+'GASTOS GENERALES'!D27</f>
        <v>34</v>
      </c>
      <c r="E17" s="1" t="str">
        <f>+'GASTOS GENERALES'!E27</f>
        <v>Suministro de combustibles  (Gasolina y Gas vehicular), mediante el sistema electrónico de control (microchip) programable, llantas para los vehículos del Instituto para la Investigación Educativa y el Desarrollo Pedagógico – IDEP.</v>
      </c>
      <c r="F17" s="1" t="str">
        <f>+'GASTOS GENERALES'!F27</f>
        <v xml:space="preserve">15101500  25172504
</v>
      </c>
      <c r="G17" s="1" t="str">
        <f>+'GASTOS GENERALES'!G27</f>
        <v>Profesional Universitario 219-02 Servicios Generales</v>
      </c>
      <c r="H17" s="1" t="str">
        <f>+'GASTOS GENERALES'!H27</f>
        <v>Subdirección Administrativa financiera</v>
      </c>
      <c r="I17" s="1" t="str">
        <f>+'GASTOS GENERALES'!J27</f>
        <v>Noviembre</v>
      </c>
      <c r="J17" s="1">
        <f>+'GASTOS GENERALES'!K27</f>
        <v>3</v>
      </c>
      <c r="K17" s="1" t="str">
        <f>+'GASTOS GENERALES'!L27</f>
        <v>MINIMA CUANTÍA</v>
      </c>
      <c r="L17" s="1" t="str">
        <f>+'GASTOS GENERALES'!M27</f>
        <v xml:space="preserve">Minima Cuantia </v>
      </c>
      <c r="M17" s="80">
        <f>+'GASTOS GENERALES'!N27</f>
        <v>6541588</v>
      </c>
      <c r="N17" s="80">
        <f>+'GASTOS GENERALES'!O27</f>
        <v>0</v>
      </c>
      <c r="O17" s="80">
        <f>+'GASTOS GENERALES'!P27</f>
        <v>6541588</v>
      </c>
      <c r="P17" s="1">
        <f>+'GASTOS GENERALES'!Q27</f>
        <v>0</v>
      </c>
      <c r="Q17" s="80">
        <f>+'GASTOS GENERALES'!R27</f>
        <v>6541588</v>
      </c>
      <c r="R17" s="80">
        <f>+'GASTOS GENERALES'!S27</f>
        <v>0</v>
      </c>
      <c r="S17" s="80">
        <f>+'GASTOS GENERALES'!T27</f>
        <v>6541588</v>
      </c>
      <c r="T17" s="2">
        <f>+'GASTOS GENERALES'!U27</f>
        <v>0</v>
      </c>
      <c r="U17" s="1">
        <f>+'GASTOS GENERALES'!V27</f>
        <v>0</v>
      </c>
      <c r="V17" s="1">
        <f>+'GASTOS GENERALES'!W27</f>
        <v>0</v>
      </c>
    </row>
    <row r="18" spans="1:22" ht="66" customHeight="1" x14ac:dyDescent="0.25">
      <c r="A18" s="1" t="s">
        <v>293</v>
      </c>
      <c r="B18" s="1" t="str">
        <f>+'GASTOS GENERALES'!B30</f>
        <v xml:space="preserve"> Materiales y suministros</v>
      </c>
      <c r="C18" s="1">
        <f>+'GASTOS GENERALES'!C30</f>
        <v>313</v>
      </c>
      <c r="D18" s="1">
        <f>+'GASTOS GENERALES'!D30</f>
        <v>43</v>
      </c>
      <c r="E18" s="1" t="str">
        <f>+'GASTOS GENERALES'!E30</f>
        <v>Compraventa de papelería, útiles de escritorio y artículos de oficina para la Investigación Educativa y el Desarrollo Pedagógico - IDEP</v>
      </c>
      <c r="F18" s="1" t="str">
        <f>+'GASTOS GENERALES'!F30</f>
        <v xml:space="preserve">14111507  44121613 
44121701 44121704 
44121706 44121708
 44121804 44122119
 31201517 14111530
 42312009 44121630
 44121619 44111515 
44122027 14111514 
44121503 60101312 </v>
      </c>
      <c r="G18" s="1" t="str">
        <f>+'GASTOS GENERALES'!G30</f>
        <v>Profesional Universitario 219-02 Servicios Generales</v>
      </c>
      <c r="H18" s="1" t="str">
        <f>+'GASTOS GENERALES'!H30</f>
        <v>Subdirección Administrativa financiera</v>
      </c>
      <c r="I18" s="1" t="str">
        <f>+'GASTOS GENERALES'!J30</f>
        <v xml:space="preserve">Noviembre </v>
      </c>
      <c r="J18" s="1">
        <f>+'GASTOS GENERALES'!K30</f>
        <v>2</v>
      </c>
      <c r="K18" s="1" t="str">
        <f>+'GASTOS GENERALES'!L30</f>
        <v>TIENDA VIRTUAL - COLOMBIA COMPRA EFICIENTE</v>
      </c>
      <c r="L18" s="1" t="str">
        <f>+'GASTOS GENERALES'!M30</f>
        <v>Minima cuantia</v>
      </c>
      <c r="M18" s="80">
        <f>+'GASTOS GENERALES'!N30</f>
        <v>4881212</v>
      </c>
      <c r="N18" s="80">
        <f>+'GASTOS GENERALES'!O30</f>
        <v>0</v>
      </c>
      <c r="O18" s="80">
        <f>+'GASTOS GENERALES'!P30</f>
        <v>4881212</v>
      </c>
      <c r="P18" s="1">
        <f>+'GASTOS GENERALES'!Q30</f>
        <v>0</v>
      </c>
      <c r="Q18" s="80">
        <f>+'GASTOS GENERALES'!R30</f>
        <v>4881212</v>
      </c>
      <c r="R18" s="80">
        <f>+'GASTOS GENERALES'!S30</f>
        <v>0</v>
      </c>
      <c r="S18" s="80">
        <f>+'GASTOS GENERALES'!T30</f>
        <v>4881212</v>
      </c>
      <c r="T18" s="2">
        <f>+'GASTOS GENERALES'!U30</f>
        <v>43075</v>
      </c>
      <c r="U18" s="1">
        <f>+'GASTOS GENERALES'!V30</f>
        <v>116</v>
      </c>
      <c r="V18" s="1" t="str">
        <f>+'GASTOS GENERALES'!W30</f>
        <v>Proveedores para sistemas y cia SAS</v>
      </c>
    </row>
    <row r="19" spans="1:22" ht="41.25" customHeight="1" x14ac:dyDescent="0.25">
      <c r="A19" s="1" t="s">
        <v>293</v>
      </c>
      <c r="B19" s="1" t="s">
        <v>303</v>
      </c>
      <c r="C19" s="1">
        <f>+'GASTOS GENERALES'!C32</f>
        <v>0</v>
      </c>
      <c r="D19" s="1">
        <f>+'GASTOS GENERALES'!D32</f>
        <v>0</v>
      </c>
      <c r="E19" s="1" t="str">
        <f>+'GASTOS GENERALES'!E32</f>
        <v>CAJA MENOR</v>
      </c>
      <c r="F19" s="1" t="str">
        <f>+'GASTOS GENERALES'!F32</f>
        <v>NO APLICA</v>
      </c>
      <c r="G19" s="1" t="str">
        <f>+'GASTOS GENERALES'!G32</f>
        <v>Técnico de Contabilidad</v>
      </c>
      <c r="H19" s="1" t="str">
        <f>+'GASTOS GENERALES'!H32</f>
        <v>Subdirección Administrativa financiera</v>
      </c>
      <c r="I19" s="1" t="str">
        <f>+'GASTOS GENERALES'!J32</f>
        <v>Febrero</v>
      </c>
      <c r="J19" s="1">
        <f>+'GASTOS GENERALES'!K32</f>
        <v>11</v>
      </c>
      <c r="K19" s="1" t="str">
        <f>+'GASTOS GENERALES'!L32</f>
        <v>NA</v>
      </c>
      <c r="L19" s="1" t="str">
        <f>+'GASTOS GENERALES'!M32</f>
        <v>Gastos
 Directos</v>
      </c>
      <c r="M19" s="80">
        <f>+'GASTOS GENERALES'!N32</f>
        <v>2750000</v>
      </c>
      <c r="N19" s="80">
        <f>+'GASTOS GENERALES'!O32</f>
        <v>0</v>
      </c>
      <c r="O19" s="80">
        <f>+'GASTOS GENERALES'!P32</f>
        <v>2750000</v>
      </c>
      <c r="P19" s="1">
        <f>+'GASTOS GENERALES'!Q32</f>
        <v>0</v>
      </c>
      <c r="Q19" s="80">
        <f>+'GASTOS GENERALES'!R32</f>
        <v>1115650</v>
      </c>
      <c r="R19" s="80">
        <f>+'GASTOS GENERALES'!S32</f>
        <v>0</v>
      </c>
      <c r="S19" s="80">
        <f>+'GASTOS GENERALES'!T32</f>
        <v>1115650</v>
      </c>
      <c r="T19" s="2">
        <f>+'GASTOS GENERALES'!U32</f>
        <v>0</v>
      </c>
      <c r="U19" s="1">
        <f>+'GASTOS GENERALES'!V32</f>
        <v>0</v>
      </c>
      <c r="V19" s="1">
        <f>+'GASTOS GENERALES'!W32</f>
        <v>0</v>
      </c>
    </row>
    <row r="20" spans="1:22" ht="81" customHeight="1" x14ac:dyDescent="0.25">
      <c r="A20" s="1" t="s">
        <v>294</v>
      </c>
      <c r="B20" s="1" t="str">
        <f>+'GASTOS GENERALES'!B35</f>
        <v>Arrendamientos</v>
      </c>
      <c r="C20" s="1">
        <f>+'GASTOS GENERALES'!C35</f>
        <v>175</v>
      </c>
      <c r="D20" s="1">
        <f>+'GASTOS GENERALES'!D35</f>
        <v>23</v>
      </c>
      <c r="E20" s="1" t="str">
        <f>+'GASTOS GENERALES'!E35</f>
        <v>Arrendar el inmueble distinguido como oficina 402 A ubicado en la Avenida Calle 26 No. 69 D-91 Torre Peatonal “Centro Empresarial Arrecife (Etapa II) piso 4to. Propiedad Horizontal”, de la ciudad de Bogotá,  incluyendo los parqueaderos Nros. 265 y 266 del sótano No. 3, con el fin de que allí funcione  la sede  del IDEP.</v>
      </c>
      <c r="F20" s="1">
        <f>+'GASTOS GENERALES'!F35</f>
        <v>80131502</v>
      </c>
      <c r="G20" s="1" t="str">
        <f>+'GASTOS GENERALES'!G35</f>
        <v>Profesional Universitario 219-02 Servicios Generales</v>
      </c>
      <c r="H20" s="1" t="str">
        <f>+'GASTOS GENERALES'!H35</f>
        <v>Subdirección Administrativa financiera</v>
      </c>
      <c r="I20" s="1" t="str">
        <f>+'GASTOS GENERALES'!J35</f>
        <v>Febrero</v>
      </c>
      <c r="J20" s="1">
        <f>+'GASTOS GENERALES'!K35</f>
        <v>11</v>
      </c>
      <c r="K20" s="1" t="str">
        <f>+'GASTOS GENERALES'!L35</f>
        <v>CONTRATACIÓN DIRECTA</v>
      </c>
      <c r="L20" s="1" t="str">
        <f>+'GASTOS GENERALES'!M35</f>
        <v>Contratación
 Directa</v>
      </c>
      <c r="M20" s="80">
        <f>+'GASTOS GENERALES'!N35</f>
        <v>58195071</v>
      </c>
      <c r="N20" s="80">
        <f>+'GASTOS GENERALES'!O35</f>
        <v>0</v>
      </c>
      <c r="O20" s="80">
        <f>+'GASTOS GENERALES'!P35</f>
        <v>58195071</v>
      </c>
      <c r="P20" s="1">
        <f>+'GASTOS GENERALES'!Q35</f>
        <v>1</v>
      </c>
      <c r="Q20" s="80">
        <f>+'GASTOS GENERALES'!R35</f>
        <v>58195071</v>
      </c>
      <c r="R20" s="80">
        <f>+'GASTOS GENERALES'!S35</f>
        <v>0</v>
      </c>
      <c r="S20" s="80">
        <f>+'GASTOS GENERALES'!T35</f>
        <v>58195071</v>
      </c>
      <c r="T20" s="2">
        <f>+'GASTOS GENERALES'!U35</f>
        <v>42797</v>
      </c>
      <c r="U20" s="1">
        <f>+'GASTOS GENERALES'!V35</f>
        <v>22</v>
      </c>
      <c r="V20" s="1" t="str">
        <f>+'GASTOS GENERALES'!W35</f>
        <v>Inmobiliaria 1 Casa Grande Ltda</v>
      </c>
    </row>
    <row r="21" spans="1:22" ht="90.75" customHeight="1" x14ac:dyDescent="0.25">
      <c r="A21" s="1" t="s">
        <v>294</v>
      </c>
      <c r="B21" s="1" t="s">
        <v>143</v>
      </c>
      <c r="C21" s="1">
        <f>+'GASTOS GENERALES'!C36</f>
        <v>176</v>
      </c>
      <c r="D21" s="1">
        <f>+'GASTOS GENERALES'!D36</f>
        <v>24</v>
      </c>
      <c r="E21" s="1" t="str">
        <f>+'GASTOS GENERALES'!E36</f>
        <v>Arrendar el inmueble distinguido como oficina 402 B ubicado en la Avenida Calle 26 No. 69 D-91 Torre Peatonal “Centro Empresarial Arrecife (Etapa II) piso 4to. Propiedad Horizontal”, de la ciudad de Bogotá,  incluyendo los parqueaderos Nros. 267 y 268 del sótano No. 3, con el fin de que allí funcione  la sede  del IDEP.</v>
      </c>
      <c r="F21" s="1">
        <f>+'GASTOS GENERALES'!F36</f>
        <v>80131502</v>
      </c>
      <c r="G21" s="1" t="str">
        <f>+'GASTOS GENERALES'!G36</f>
        <v>Profesional Universitario 219-02 Servicios Generales</v>
      </c>
      <c r="H21" s="1" t="str">
        <f>+'GASTOS GENERALES'!H36</f>
        <v>Subdirección Administrativa financiera</v>
      </c>
      <c r="I21" s="1" t="str">
        <f>+'GASTOS GENERALES'!J36</f>
        <v>Febrero</v>
      </c>
      <c r="J21" s="1">
        <f>+'GASTOS GENERALES'!K36</f>
        <v>11</v>
      </c>
      <c r="K21" s="1" t="str">
        <f>+'GASTOS GENERALES'!L36</f>
        <v>CONTRATACIÓN DIRECTA</v>
      </c>
      <c r="L21" s="1" t="str">
        <f>+'GASTOS GENERALES'!M36</f>
        <v>Contratación
 Directa</v>
      </c>
      <c r="M21" s="80">
        <f>+'GASTOS GENERALES'!N36</f>
        <v>83061088</v>
      </c>
      <c r="N21" s="80">
        <f>+'GASTOS GENERALES'!O36</f>
        <v>0</v>
      </c>
      <c r="O21" s="80">
        <f>+'GASTOS GENERALES'!P36</f>
        <v>83061088</v>
      </c>
      <c r="P21" s="1">
        <f>+'GASTOS GENERALES'!Q36</f>
        <v>1</v>
      </c>
      <c r="Q21" s="80">
        <f>+'GASTOS GENERALES'!R36</f>
        <v>83061088</v>
      </c>
      <c r="R21" s="80">
        <f>+'GASTOS GENERALES'!S36</f>
        <v>0</v>
      </c>
      <c r="S21" s="80">
        <f>+'GASTOS GENERALES'!T36</f>
        <v>83061088</v>
      </c>
      <c r="T21" s="2">
        <f>+'GASTOS GENERALES'!U36</f>
        <v>42797</v>
      </c>
      <c r="U21" s="1">
        <f>+'GASTOS GENERALES'!V36</f>
        <v>25</v>
      </c>
      <c r="V21" s="1" t="str">
        <f>+'GASTOS GENERALES'!W36</f>
        <v>Inmobiliaria 1 Casa Grande Ltda</v>
      </c>
    </row>
    <row r="22" spans="1:22" ht="59.25" customHeight="1" x14ac:dyDescent="0.25">
      <c r="A22" s="1" t="s">
        <v>294</v>
      </c>
      <c r="B22" s="1" t="s">
        <v>143</v>
      </c>
      <c r="C22" s="1">
        <f>+'GASTOS GENERALES'!C37</f>
        <v>177</v>
      </c>
      <c r="D22" s="1">
        <f>+'GASTOS GENERALES'!D37</f>
        <v>26</v>
      </c>
      <c r="E22" s="1" t="str">
        <f>+'GASTOS GENERALES'!E37</f>
        <v>Arrendar el inmueble distinguido como oficina 805 ubicado en la Avenida Calle 26 No. 69 D-91 Torre Peatonal “Centro Empresarial Arrecife (Etapa II) piso 8vo. Propiedad Horizontal”, de la ciudad de Bogotá,  incluyendo los parqueaderos Nros. 76, 77 y 115 del sótano No. 2, con el fin de que allí funcione  la sede  del IDEP.</v>
      </c>
      <c r="F22" s="1">
        <f>+'GASTOS GENERALES'!F37</f>
        <v>80131502</v>
      </c>
      <c r="G22" s="1" t="str">
        <f>+'GASTOS GENERALES'!G37</f>
        <v>Profesional Universitario 219-02 Servicios Generales</v>
      </c>
      <c r="H22" s="1" t="str">
        <f>+'GASTOS GENERALES'!H37</f>
        <v>Subdirección Administrativa financiera</v>
      </c>
      <c r="I22" s="1" t="str">
        <f>+'GASTOS GENERALES'!J37</f>
        <v>Febrero</v>
      </c>
      <c r="J22" s="1">
        <f>+'GASTOS GENERALES'!K37</f>
        <v>11</v>
      </c>
      <c r="K22" s="1" t="str">
        <f>+'GASTOS GENERALES'!L37</f>
        <v>CONTRATACIÓN DIRECTA</v>
      </c>
      <c r="L22" s="1" t="str">
        <f>+'GASTOS GENERALES'!M37</f>
        <v>Contratación
 Directa</v>
      </c>
      <c r="M22" s="80">
        <f>+'GASTOS GENERALES'!N37</f>
        <v>125014362</v>
      </c>
      <c r="N22" s="80">
        <f>+'GASTOS GENERALES'!O37</f>
        <v>0</v>
      </c>
      <c r="O22" s="80">
        <f>+'GASTOS GENERALES'!P37</f>
        <v>125014362</v>
      </c>
      <c r="P22" s="1">
        <f>+'GASTOS GENERALES'!Q37</f>
        <v>1</v>
      </c>
      <c r="Q22" s="80">
        <f>+'GASTOS GENERALES'!R37</f>
        <v>125014362</v>
      </c>
      <c r="R22" s="80">
        <f>+'GASTOS GENERALES'!S37</f>
        <v>0</v>
      </c>
      <c r="S22" s="80">
        <f>+'GASTOS GENERALES'!T37</f>
        <v>125014362</v>
      </c>
      <c r="T22" s="2">
        <f>+'GASTOS GENERALES'!U37</f>
        <v>42797</v>
      </c>
      <c r="U22" s="1">
        <f>+'GASTOS GENERALES'!V37</f>
        <v>23</v>
      </c>
      <c r="V22" s="1" t="str">
        <f>+'GASTOS GENERALES'!W37</f>
        <v>Inmobiliaria 1 Casa Grande Ltda</v>
      </c>
    </row>
    <row r="23" spans="1:22" ht="63" customHeight="1" x14ac:dyDescent="0.25">
      <c r="A23" s="1" t="s">
        <v>294</v>
      </c>
      <c r="B23" s="1" t="s">
        <v>143</v>
      </c>
      <c r="C23" s="1">
        <f>+'GASTOS GENERALES'!C38</f>
        <v>178</v>
      </c>
      <c r="D23" s="1">
        <f>+'GASTOS GENERALES'!D38</f>
        <v>28</v>
      </c>
      <c r="E23" s="1" t="str">
        <f>+'GASTOS GENERALES'!E38</f>
        <v>Arrendar el inmueble distinguido como oficina 806 ubicado en la Avenida Calle 26 No. 69 D-91 Torre Peatonal “Centro Empresarial Arrecife (Etapa II) piso 8vo Propiedad Horizontal”, de la ciudad de Bogotá,  incluyendo los parqueaderos Nros. 151 y 152 del sótano No. 2, con el fin de que allí funcione  la sede  del IDEP.</v>
      </c>
      <c r="F23" s="1">
        <f>+'GASTOS GENERALES'!F38</f>
        <v>80131502</v>
      </c>
      <c r="G23" s="1" t="str">
        <f>+'GASTOS GENERALES'!G38</f>
        <v>Profesional Universitario 219-02 Servicios Generales</v>
      </c>
      <c r="H23" s="1" t="str">
        <f>+'GASTOS GENERALES'!H38</f>
        <v>Subdirección Administrativa financiera</v>
      </c>
      <c r="I23" s="1" t="str">
        <f>+'GASTOS GENERALES'!J38</f>
        <v>Febrero</v>
      </c>
      <c r="J23" s="1">
        <f>+'GASTOS GENERALES'!K38</f>
        <v>11</v>
      </c>
      <c r="K23" s="1" t="str">
        <f>+'GASTOS GENERALES'!L38</f>
        <v>CONTRATACIÓN DIRECTA</v>
      </c>
      <c r="L23" s="1" t="str">
        <f>+'GASTOS GENERALES'!M38</f>
        <v>Contratación
 Directa</v>
      </c>
      <c r="M23" s="80">
        <f>+'GASTOS GENERALES'!N38</f>
        <v>82400769</v>
      </c>
      <c r="N23" s="80">
        <f>+'GASTOS GENERALES'!O38</f>
        <v>0</v>
      </c>
      <c r="O23" s="80">
        <f>+'GASTOS GENERALES'!P38</f>
        <v>82400769</v>
      </c>
      <c r="P23" s="1">
        <f>+'GASTOS GENERALES'!Q38</f>
        <v>1</v>
      </c>
      <c r="Q23" s="80">
        <f>+'GASTOS GENERALES'!R38</f>
        <v>82400769</v>
      </c>
      <c r="R23" s="80">
        <f>+'GASTOS GENERALES'!S38</f>
        <v>0</v>
      </c>
      <c r="S23" s="80">
        <f>+'GASTOS GENERALES'!T38</f>
        <v>82400769</v>
      </c>
      <c r="T23" s="2">
        <f>+'GASTOS GENERALES'!U38</f>
        <v>42797</v>
      </c>
      <c r="U23" s="1">
        <f>+'GASTOS GENERALES'!V38</f>
        <v>24</v>
      </c>
      <c r="V23" s="1" t="str">
        <f>+'GASTOS GENERALES'!W38</f>
        <v>Inmobiliaria 1 Casa Grande Ltda</v>
      </c>
    </row>
    <row r="24" spans="1:22" ht="39" customHeight="1" x14ac:dyDescent="0.25">
      <c r="A24" s="1" t="s">
        <v>294</v>
      </c>
      <c r="B24" s="1" t="s">
        <v>143</v>
      </c>
      <c r="C24" s="4">
        <f>+'GASTOS GENERALES'!C39</f>
        <v>24</v>
      </c>
      <c r="D24" s="4">
        <f>+'GASTOS GENERALES'!D39</f>
        <v>0</v>
      </c>
      <c r="E24" s="4" t="str">
        <f>+'GASTOS GENERALES'!E39</f>
        <v>Administración oficinas</v>
      </c>
      <c r="F24" s="4" t="str">
        <f>+'GASTOS GENERALES'!F39</f>
        <v>NO APLICA</v>
      </c>
      <c r="G24" s="4" t="str">
        <f>+'GASTOS GENERALES'!G39</f>
        <v>Profesional Universitario 219-02 Servicios Generales</v>
      </c>
      <c r="H24" s="4" t="str">
        <f>+'GASTOS GENERALES'!H39</f>
        <v>Subdirección Administrativa financiera</v>
      </c>
      <c r="I24" s="4" t="str">
        <f>+'GASTOS GENERALES'!J39</f>
        <v>Enero</v>
      </c>
      <c r="J24" s="4">
        <f>+'GASTOS GENERALES'!K39</f>
        <v>12</v>
      </c>
      <c r="K24" s="4" t="str">
        <f>+'GASTOS GENERALES'!L39</f>
        <v>NA</v>
      </c>
      <c r="L24" s="4" t="str">
        <f>+'GASTOS GENERALES'!M39</f>
        <v>Gastos
 Directos</v>
      </c>
      <c r="M24" s="80">
        <f>+'GASTOS GENERALES'!N39</f>
        <v>44105710</v>
      </c>
      <c r="N24" s="80">
        <f>+'GASTOS GENERALES'!O39</f>
        <v>0</v>
      </c>
      <c r="O24" s="80">
        <f>+'GASTOS GENERALES'!P39</f>
        <v>44105710</v>
      </c>
      <c r="P24" s="4">
        <f>+'GASTOS GENERALES'!Q39</f>
        <v>1</v>
      </c>
      <c r="Q24" s="80">
        <f>+'GASTOS GENERALES'!R39</f>
        <v>36078969</v>
      </c>
      <c r="R24" s="80">
        <f>+'GASTOS GENERALES'!S39</f>
        <v>0</v>
      </c>
      <c r="S24" s="80">
        <f>+'GASTOS GENERALES'!T39</f>
        <v>36078969</v>
      </c>
      <c r="T24" s="2">
        <f>+'GASTOS GENERALES'!U39</f>
        <v>0</v>
      </c>
      <c r="U24" s="4">
        <f>+'GASTOS GENERALES'!V39</f>
        <v>0</v>
      </c>
      <c r="V24" s="4">
        <f>+'GASTOS GENERALES'!W39</f>
        <v>0</v>
      </c>
    </row>
    <row r="25" spans="1:22" ht="45" x14ac:dyDescent="0.25">
      <c r="A25" s="1" t="s">
        <v>294</v>
      </c>
      <c r="B25" s="1" t="str">
        <f>+'GASTOS GENERALES'!B41</f>
        <v xml:space="preserve"> Gastos de transporte y comunicación</v>
      </c>
      <c r="C25" s="1">
        <f>+'GASTOS GENERALES'!C41</f>
        <v>25</v>
      </c>
      <c r="D25" s="1">
        <f>+'GASTOS GENERALES'!D41</f>
        <v>28</v>
      </c>
      <c r="E25" s="1" t="str">
        <f>+'GASTOS GENERALES'!E41</f>
        <v>Prestación del servicio de un canal de Internet dedicado con un ancho de banda de 20 Mbps.</v>
      </c>
      <c r="F25" s="1">
        <f>+'GASTOS GENERALES'!F41</f>
        <v>81112101</v>
      </c>
      <c r="G25" s="1" t="str">
        <f>+'GASTOS GENERALES'!G41</f>
        <v>Jefe Oficina  Asesora de planeación</v>
      </c>
      <c r="H25" s="1" t="str">
        <f>+'GASTOS GENERALES'!H41</f>
        <v>Oficina Asesora de Planeación</v>
      </c>
      <c r="I25" s="1" t="str">
        <f>+'GASTOS GENERALES'!J41</f>
        <v>Febrero</v>
      </c>
      <c r="J25" s="1">
        <f>+'GASTOS GENERALES'!K41</f>
        <v>10</v>
      </c>
      <c r="K25" s="1" t="str">
        <f>+'GASTOS GENERALES'!L41</f>
        <v>CONTRATACIÓN DIRECTA</v>
      </c>
      <c r="L25" s="1" t="str">
        <f>+'GASTOS GENERALES'!M41</f>
        <v>Contratación
 Directa</v>
      </c>
      <c r="M25" s="80">
        <f>+'GASTOS GENERALES'!N41</f>
        <v>23192040</v>
      </c>
      <c r="N25" s="80">
        <f>+'GASTOS GENERALES'!O41</f>
        <v>0</v>
      </c>
      <c r="O25" s="80">
        <f>+'GASTOS GENERALES'!P41</f>
        <v>23192040</v>
      </c>
      <c r="P25" s="1">
        <f>+'GASTOS GENERALES'!Q41</f>
        <v>1</v>
      </c>
      <c r="Q25" s="80">
        <f>+'GASTOS GENERALES'!R41</f>
        <v>23192040</v>
      </c>
      <c r="R25" s="80">
        <f>+'GASTOS GENERALES'!S41</f>
        <v>0</v>
      </c>
      <c r="S25" s="80">
        <f>+'GASTOS GENERALES'!T41</f>
        <v>23192040</v>
      </c>
      <c r="T25" s="2">
        <f>+'GASTOS GENERALES'!U41</f>
        <v>42782</v>
      </c>
      <c r="U25" s="1">
        <f>+'GASTOS GENERALES'!V41</f>
        <v>5</v>
      </c>
      <c r="V25" s="1" t="str">
        <f>+'GASTOS GENERALES'!W41</f>
        <v>ETB</v>
      </c>
    </row>
    <row r="26" spans="1:22" ht="72" customHeight="1" x14ac:dyDescent="0.25">
      <c r="A26" s="1" t="s">
        <v>294</v>
      </c>
      <c r="B26" s="1" t="s">
        <v>142</v>
      </c>
      <c r="C26" s="1">
        <f>+'GASTOS GENERALES'!C44</f>
        <v>0</v>
      </c>
      <c r="D26" s="1">
        <f>+'GASTOS GENERALES'!D44</f>
        <v>0</v>
      </c>
      <c r="E26" s="82" t="str">
        <f>+'GASTOS GENERALES'!E44</f>
        <v>SALDO</v>
      </c>
      <c r="F26" s="82">
        <f>+'GASTOS GENERALES'!F44</f>
        <v>81112104</v>
      </c>
      <c r="G26" s="82" t="str">
        <f>+'GASTOS GENERALES'!G44</f>
        <v>Jefe Oficina  Asesora de planeación</v>
      </c>
      <c r="H26" s="82" t="str">
        <f>+'GASTOS GENERALES'!H44</f>
        <v>Oficina Asesora de Planeación</v>
      </c>
      <c r="I26" s="82">
        <f>+'GASTOS GENERALES'!J44</f>
        <v>0</v>
      </c>
      <c r="J26" s="82">
        <f>+'GASTOS GENERALES'!K44</f>
        <v>0</v>
      </c>
      <c r="K26" s="82">
        <f>+'GASTOS GENERALES'!L44</f>
        <v>0</v>
      </c>
      <c r="L26" s="82"/>
      <c r="M26" s="121">
        <f>+'GASTOS GENERALES'!N44</f>
        <v>0</v>
      </c>
      <c r="N26" s="80">
        <f>+'GASTOS GENERALES'!O44</f>
        <v>0</v>
      </c>
      <c r="O26" s="80">
        <f>+'GASTOS GENERALES'!P44</f>
        <v>0</v>
      </c>
      <c r="P26" s="1">
        <f>+'GASTOS GENERALES'!Q44</f>
        <v>0</v>
      </c>
      <c r="Q26" s="80">
        <f>+'GASTOS GENERALES'!R44</f>
        <v>0</v>
      </c>
      <c r="R26" s="80">
        <f>+'GASTOS GENERALES'!S44</f>
        <v>0</v>
      </c>
      <c r="S26" s="80">
        <f>+'GASTOS GENERALES'!T44</f>
        <v>0</v>
      </c>
      <c r="T26" s="2">
        <f>+'GASTOS GENERALES'!U44</f>
        <v>0</v>
      </c>
      <c r="U26" s="1">
        <f>+'GASTOS GENERALES'!V44</f>
        <v>0</v>
      </c>
      <c r="V26" s="1">
        <f>+'GASTOS GENERALES'!W44</f>
        <v>0</v>
      </c>
    </row>
    <row r="27" spans="1:22" ht="72" customHeight="1" x14ac:dyDescent="0.25">
      <c r="A27" s="1" t="s">
        <v>294</v>
      </c>
      <c r="B27" s="1" t="s">
        <v>142</v>
      </c>
      <c r="C27" s="1" t="e">
        <f>+'GASTOS GENERALES'!#REF!</f>
        <v>#REF!</v>
      </c>
      <c r="D27" s="1" t="e">
        <f>+'GASTOS GENERALES'!#REF!</f>
        <v>#REF!</v>
      </c>
      <c r="E27" s="82" t="e">
        <f>+'GASTOS GENERALES'!#REF!</f>
        <v>#REF!</v>
      </c>
      <c r="F27" s="82"/>
      <c r="G27" s="82"/>
      <c r="H27" s="82"/>
      <c r="I27" s="82"/>
      <c r="J27" s="82"/>
      <c r="K27" s="82"/>
      <c r="L27" s="82"/>
      <c r="M27" s="121" t="e">
        <f>+'GASTOS GENERALES'!#REF!</f>
        <v>#REF!</v>
      </c>
      <c r="N27" s="80" t="e">
        <f>+'GASTOS GENERALES'!#REF!</f>
        <v>#REF!</v>
      </c>
      <c r="O27" s="80" t="e">
        <f>+'GASTOS GENERALES'!#REF!</f>
        <v>#REF!</v>
      </c>
      <c r="P27" s="1" t="e">
        <f>+'GASTOS GENERALES'!#REF!</f>
        <v>#REF!</v>
      </c>
      <c r="Q27" s="80" t="e">
        <f>+'GASTOS GENERALES'!#REF!</f>
        <v>#REF!</v>
      </c>
      <c r="R27" s="80" t="e">
        <f>+'GASTOS GENERALES'!#REF!</f>
        <v>#REF!</v>
      </c>
      <c r="S27" s="80" t="e">
        <f>+'GASTOS GENERALES'!#REF!</f>
        <v>#REF!</v>
      </c>
      <c r="T27" s="2" t="e">
        <f>+'GASTOS GENERALES'!#REF!</f>
        <v>#REF!</v>
      </c>
      <c r="U27" s="1" t="e">
        <f>+'GASTOS GENERALES'!#REF!</f>
        <v>#REF!</v>
      </c>
      <c r="V27" s="1" t="e">
        <f>+'GASTOS GENERALES'!#REF!</f>
        <v>#REF!</v>
      </c>
    </row>
    <row r="28" spans="1:22" ht="72" customHeight="1" x14ac:dyDescent="0.25">
      <c r="A28" s="1" t="s">
        <v>294</v>
      </c>
      <c r="B28" s="1" t="s">
        <v>142</v>
      </c>
      <c r="C28" s="1">
        <f>+'GASTOS GENERALES'!C48</f>
        <v>188</v>
      </c>
      <c r="D28" s="1">
        <f>+'GASTOS GENERALES'!D48</f>
        <v>29</v>
      </c>
      <c r="E28" s="1" t="str">
        <f>+'GASTOS GENERALES'!E48</f>
        <v>Compra de Radios de Comunicación para la Brigada de Emergencias del IDEP</v>
      </c>
      <c r="F28" s="1">
        <f>+'GASTOS GENERALES'!F48</f>
        <v>81112101</v>
      </c>
      <c r="G28" s="1" t="str">
        <f>+'GASTOS GENERALES'!G48</f>
        <v>Profesional especializado Presupuesto</v>
      </c>
      <c r="H28" s="1" t="str">
        <f>+'GASTOS GENERALES'!H48</f>
        <v>Subdirección Adminsitrativa Financiera</v>
      </c>
      <c r="I28" s="1" t="str">
        <f>+'GASTOS GENERALES'!J48</f>
        <v xml:space="preserve">Abril </v>
      </c>
      <c r="J28" s="1">
        <f>+'GASTOS GENERALES'!K48</f>
        <v>3</v>
      </c>
      <c r="K28" s="1" t="str">
        <f>+'GASTOS GENERALES'!L48</f>
        <v>TIENDA VIRTUAL - COLOMBIA COMPRA EFICIENTE</v>
      </c>
      <c r="L28" s="1" t="str">
        <f>+'GASTOS GENERALES'!M48</f>
        <v>minima cuantia</v>
      </c>
      <c r="M28" s="80">
        <f>+'GASTOS GENERALES'!N48</f>
        <v>3272500</v>
      </c>
      <c r="N28" s="80">
        <f>+'GASTOS GENERALES'!O48</f>
        <v>0</v>
      </c>
      <c r="O28" s="80">
        <f>+'GASTOS GENERALES'!P48</f>
        <v>3272500</v>
      </c>
      <c r="P28" s="1">
        <f>+'GASTOS GENERALES'!Q48</f>
        <v>1</v>
      </c>
      <c r="Q28" s="80">
        <f>+'GASTOS GENERALES'!R48</f>
        <v>3272500</v>
      </c>
      <c r="R28" s="80">
        <f>+'GASTOS GENERALES'!S48</f>
        <v>0</v>
      </c>
      <c r="S28" s="80">
        <f>+'GASTOS GENERALES'!T48</f>
        <v>3272500</v>
      </c>
      <c r="T28" s="2">
        <f>+'GASTOS GENERALES'!U48</f>
        <v>42853</v>
      </c>
      <c r="U28" s="1" t="str">
        <f>+'GASTOS GENERALES'!V48</f>
        <v>orden de aceptación</v>
      </c>
      <c r="V28" s="1" t="str">
        <f>+'GASTOS GENERALES'!W48</f>
        <v>ENLASE INHALAMBRICO GIGITAL</v>
      </c>
    </row>
    <row r="29" spans="1:22" ht="45" x14ac:dyDescent="0.25">
      <c r="A29" s="1" t="s">
        <v>294</v>
      </c>
      <c r="B29" s="1" t="s">
        <v>142</v>
      </c>
      <c r="C29" s="1" t="e">
        <f>+'GASTOS GENERALES'!#REF!</f>
        <v>#REF!</v>
      </c>
      <c r="D29" s="1" t="e">
        <f>+'GASTOS GENERALES'!#REF!</f>
        <v>#REF!</v>
      </c>
      <c r="E29" s="82" t="str">
        <f>+'GASTOS GENERALES'!E42</f>
        <v>SALDO</v>
      </c>
      <c r="F29" s="82">
        <f>+'GASTOS GENERALES'!F42</f>
        <v>81112102</v>
      </c>
      <c r="G29" s="82" t="str">
        <f>+'GASTOS GENERALES'!G42</f>
        <v>Jefe Oficina  Asesora de planeación</v>
      </c>
      <c r="H29" s="82" t="str">
        <f>+'GASTOS GENERALES'!H42</f>
        <v>Oficina Asesora de Planeación</v>
      </c>
      <c r="I29" s="82">
        <f>+'GASTOS GENERALES'!J42</f>
        <v>0</v>
      </c>
      <c r="J29" s="82">
        <f>+'GASTOS GENERALES'!K42</f>
        <v>0</v>
      </c>
      <c r="K29" s="82">
        <f>+'GASTOS GENERALES'!L42</f>
        <v>0</v>
      </c>
      <c r="L29" s="82">
        <f>+'GASTOS GENERALES'!M42</f>
        <v>0</v>
      </c>
      <c r="M29" s="121">
        <f>+'GASTOS GENERALES'!N42</f>
        <v>0</v>
      </c>
      <c r="N29" s="80">
        <f>+'GASTOS GENERALES'!O42</f>
        <v>0</v>
      </c>
      <c r="O29" s="80">
        <f>+'GASTOS GENERALES'!P42</f>
        <v>0</v>
      </c>
      <c r="P29" s="1" t="e">
        <f>+'GASTOS GENERALES'!#REF!</f>
        <v>#REF!</v>
      </c>
      <c r="Q29" s="80" t="e">
        <f>+'GASTOS GENERALES'!#REF!</f>
        <v>#REF!</v>
      </c>
      <c r="R29" s="80" t="e">
        <f>+'GASTOS GENERALES'!#REF!</f>
        <v>#REF!</v>
      </c>
      <c r="S29" s="80" t="e">
        <f>+'GASTOS GENERALES'!#REF!</f>
        <v>#REF!</v>
      </c>
      <c r="T29" s="2" t="e">
        <f>+'GASTOS GENERALES'!#REF!</f>
        <v>#REF!</v>
      </c>
      <c r="U29" s="1" t="e">
        <f>+'GASTOS GENERALES'!#REF!</f>
        <v>#REF!</v>
      </c>
      <c r="V29" s="1" t="e">
        <f>+'GASTOS GENERALES'!#REF!</f>
        <v>#REF!</v>
      </c>
    </row>
    <row r="30" spans="1:22" ht="60" x14ac:dyDescent="0.25">
      <c r="A30" s="1" t="s">
        <v>294</v>
      </c>
      <c r="B30" s="1" t="s">
        <v>142</v>
      </c>
      <c r="C30" s="1">
        <f>+'GASTOS GENERALES'!C49</f>
        <v>284</v>
      </c>
      <c r="D30" s="1">
        <f>+'GASTOS GENERALES'!D49</f>
        <v>30</v>
      </c>
      <c r="E30" s="1" t="str">
        <f>+'GASTOS GENERALES'!E49</f>
        <v>Prestación del servicio de mensajería especializada para el Instituto para la Investigación Educativa y Desarrollo Pedagógico IDEP</v>
      </c>
      <c r="F30" s="1" t="str">
        <f>+'GASTOS GENERALES'!F49</f>
        <v>78102203.</v>
      </c>
      <c r="G30" s="1" t="str">
        <f>+'GASTOS GENERALES'!G49</f>
        <v>Profesionalo Especializado 222-03</v>
      </c>
      <c r="H30" s="1" t="str">
        <f>+'GASTOS GENERALES'!H49</f>
        <v>Subdirección Administrativa financiera</v>
      </c>
      <c r="I30" s="1" t="str">
        <f>+'GASTOS GENERALES'!J49</f>
        <v>Octubre</v>
      </c>
      <c r="J30" s="1">
        <f>+'GASTOS GENERALES'!K49</f>
        <v>12</v>
      </c>
      <c r="K30" s="1" t="str">
        <f>+'GASTOS GENERALES'!L49</f>
        <v>MINIMA CUANTIA</v>
      </c>
      <c r="L30" s="1" t="str">
        <f>+'GASTOS GENERALES'!M49</f>
        <v>Selección
 Abreviada</v>
      </c>
      <c r="M30" s="80">
        <f>+'GASTOS GENERALES'!N49</f>
        <v>14625000</v>
      </c>
      <c r="N30" s="80">
        <f>+'GASTOS GENERALES'!O49</f>
        <v>0</v>
      </c>
      <c r="O30" s="80">
        <f>+'GASTOS GENERALES'!P49</f>
        <v>14625000</v>
      </c>
      <c r="P30" s="1">
        <f>+'GASTOS GENERALES'!Q49</f>
        <v>0</v>
      </c>
      <c r="Q30" s="80">
        <f>+'GASTOS GENERALES'!R49</f>
        <v>14625000</v>
      </c>
      <c r="R30" s="80">
        <f>+'GASTOS GENERALES'!S49</f>
        <v>0</v>
      </c>
      <c r="S30" s="80">
        <f>+'GASTOS GENERALES'!T49</f>
        <v>14625000</v>
      </c>
      <c r="T30" s="2">
        <f>+'GASTOS GENERALES'!U49</f>
        <v>43011</v>
      </c>
      <c r="U30" s="1" t="str">
        <f>+'GASTOS GENERALES'!V49</f>
        <v>orden de aceptación 111</v>
      </c>
      <c r="V30" s="1" t="str">
        <f>+'GASTOS GENERALES'!W49</f>
        <v>GEMPSA GESTIÓN EMPRESARIAL</v>
      </c>
    </row>
    <row r="31" spans="1:22" ht="75" x14ac:dyDescent="0.25">
      <c r="A31" s="1" t="s">
        <v>294</v>
      </c>
      <c r="B31" s="1" t="s">
        <v>142</v>
      </c>
      <c r="C31" s="1">
        <f>+'GASTOS GENERALES'!C51</f>
        <v>27</v>
      </c>
      <c r="D31" s="1">
        <f>+'GASTOS GENERALES'!D51</f>
        <v>0</v>
      </c>
      <c r="E31" s="1" t="str">
        <f>+'GASTOS GENERALES'!E51</f>
        <v>CELULARES ( 3)</v>
      </c>
      <c r="F31" s="1" t="str">
        <f>+'GASTOS GENERALES'!F51</f>
        <v>NO APLICA</v>
      </c>
      <c r="G31" s="1" t="str">
        <f>+'GASTOS GENERALES'!G51</f>
        <v>Profesional Universitario 219-02 Servicios Generales</v>
      </c>
      <c r="H31" s="1" t="str">
        <f>+'GASTOS GENERALES'!H51</f>
        <v>Subdirección Administrativa financiera</v>
      </c>
      <c r="I31" s="1" t="str">
        <f>+'GASTOS GENERALES'!J51</f>
        <v>Enero</v>
      </c>
      <c r="J31" s="1">
        <f>+'GASTOS GENERALES'!K51</f>
        <v>12</v>
      </c>
      <c r="K31" s="1" t="str">
        <f>+'GASTOS GENERALES'!L51</f>
        <v>NA</v>
      </c>
      <c r="L31" s="1" t="str">
        <f>+'GASTOS GENERALES'!M51</f>
        <v>Gastos
 Directos</v>
      </c>
      <c r="M31" s="80">
        <f>+'GASTOS GENERALES'!N51</f>
        <v>4800000</v>
      </c>
      <c r="N31" s="80">
        <f>+'GASTOS GENERALES'!O51</f>
        <v>0</v>
      </c>
      <c r="O31" s="80">
        <f>+'GASTOS GENERALES'!P51</f>
        <v>4800000</v>
      </c>
      <c r="P31" s="1">
        <f>+'GASTOS GENERALES'!Q51</f>
        <v>0</v>
      </c>
      <c r="Q31" s="80">
        <f>+'GASTOS GENERALES'!R51</f>
        <v>1126226</v>
      </c>
      <c r="R31" s="80">
        <f>+'GASTOS GENERALES'!S51</f>
        <v>0</v>
      </c>
      <c r="S31" s="80">
        <f>+'GASTOS GENERALES'!T51</f>
        <v>1126226</v>
      </c>
      <c r="T31" s="2">
        <f>+'GASTOS GENERALES'!U51</f>
        <v>0</v>
      </c>
      <c r="U31" s="1">
        <f>+'GASTOS GENERALES'!V51</f>
        <v>0</v>
      </c>
      <c r="V31" s="1">
        <f>+'GASTOS GENERALES'!W51</f>
        <v>0</v>
      </c>
    </row>
    <row r="32" spans="1:22" ht="102.75" customHeight="1" x14ac:dyDescent="0.25">
      <c r="A32" s="1" t="s">
        <v>294</v>
      </c>
      <c r="B32" s="1" t="s">
        <v>142</v>
      </c>
      <c r="C32" s="1">
        <f>+'GASTOS GENERALES'!C52</f>
        <v>19</v>
      </c>
      <c r="D32" s="1">
        <f>+'GASTOS GENERALES'!D52</f>
        <v>0</v>
      </c>
      <c r="E32" s="1" t="str">
        <f>+'GASTOS GENERALES'!E52</f>
        <v>CAJA MENOR</v>
      </c>
      <c r="F32" s="1" t="str">
        <f>+'GASTOS GENERALES'!F52</f>
        <v>NO APLICA</v>
      </c>
      <c r="G32" s="1" t="str">
        <f>+'GASTOS GENERALES'!G52</f>
        <v>Técnico de Contabilidad</v>
      </c>
      <c r="H32" s="1" t="str">
        <f>+'GASTOS GENERALES'!H52</f>
        <v>Subdirección Administrativa financiera</v>
      </c>
      <c r="I32" s="1" t="str">
        <f>+'GASTOS GENERALES'!J52</f>
        <v>Febrero</v>
      </c>
      <c r="J32" s="1">
        <f>+'GASTOS GENERALES'!K52</f>
        <v>11</v>
      </c>
      <c r="K32" s="1" t="str">
        <f>+'GASTOS GENERALES'!L52</f>
        <v>NA</v>
      </c>
      <c r="L32" s="1" t="str">
        <f>+'GASTOS GENERALES'!M52</f>
        <v>Gastos
 Directos</v>
      </c>
      <c r="M32" s="80">
        <f>+'GASTOS GENERALES'!N52</f>
        <v>4400000</v>
      </c>
      <c r="N32" s="80">
        <f>+'GASTOS GENERALES'!O52</f>
        <v>0</v>
      </c>
      <c r="O32" s="80">
        <f>+'GASTOS GENERALES'!P52</f>
        <v>4400000</v>
      </c>
      <c r="P32" s="1">
        <f>+'GASTOS GENERALES'!Q52</f>
        <v>0</v>
      </c>
      <c r="Q32" s="80">
        <f>+'GASTOS GENERALES'!R52</f>
        <v>1794550</v>
      </c>
      <c r="R32" s="80">
        <f>+'GASTOS GENERALES'!S52</f>
        <v>0</v>
      </c>
      <c r="S32" s="80">
        <f>+'GASTOS GENERALES'!T52</f>
        <v>1794550</v>
      </c>
      <c r="T32" s="2">
        <f>+'GASTOS GENERALES'!U52</f>
        <v>0</v>
      </c>
      <c r="U32" s="1">
        <f>+'GASTOS GENERALES'!V52</f>
        <v>0</v>
      </c>
      <c r="V32" s="1">
        <f>+'GASTOS GENERALES'!W52</f>
        <v>0</v>
      </c>
    </row>
    <row r="33" spans="1:22" ht="102.75" customHeight="1" x14ac:dyDescent="0.25">
      <c r="A33" s="1" t="s">
        <v>294</v>
      </c>
      <c r="B33" s="1" t="s">
        <v>141</v>
      </c>
      <c r="C33" s="1">
        <f>+'GASTOS GENERALES'!C54</f>
        <v>28</v>
      </c>
      <c r="D33" s="1">
        <f>+'GASTOS GENERALES'!D54</f>
        <v>31</v>
      </c>
      <c r="E33" s="1" t="str">
        <f>+'GASTOS GENERALES'!E54</f>
        <v>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v>
      </c>
      <c r="F33" s="1">
        <f>+'GASTOS GENERALES'!F54</f>
        <v>80161801</v>
      </c>
      <c r="G33" s="1" t="str">
        <f>+'GASTOS GENERALES'!G54</f>
        <v>Profesional Universitario 219-02 Servicios Generales</v>
      </c>
      <c r="H33" s="1" t="str">
        <f>+'GASTOS GENERALES'!H54</f>
        <v>Subdirección Administrativa financiera</v>
      </c>
      <c r="I33" s="1" t="str">
        <f>+'GASTOS GENERALES'!J54</f>
        <v>Julio</v>
      </c>
      <c r="J33" s="1">
        <f>+'GASTOS GENERALES'!K54</f>
        <v>12</v>
      </c>
      <c r="K33" s="1" t="str">
        <f>+'GASTOS GENERALES'!L54</f>
        <v>MINIMA CUANTÍA</v>
      </c>
      <c r="L33" s="1" t="str">
        <f>+'GASTOS GENERALES'!M54</f>
        <v>Minima Cuantia</v>
      </c>
      <c r="M33" s="80">
        <f>+'GASTOS GENERALES'!N54</f>
        <v>7020000</v>
      </c>
      <c r="N33" s="80">
        <f>+'GASTOS GENERALES'!O54</f>
        <v>0</v>
      </c>
      <c r="O33" s="80">
        <f>+'GASTOS GENERALES'!P54</f>
        <v>7020000</v>
      </c>
      <c r="P33" s="1">
        <f>+'GASTOS GENERALES'!Q54</f>
        <v>1</v>
      </c>
      <c r="Q33" s="80">
        <f>+'GASTOS GENERALES'!R54</f>
        <v>7020000</v>
      </c>
      <c r="R33" s="80">
        <f>+'GASTOS GENERALES'!S54</f>
        <v>0</v>
      </c>
      <c r="S33" s="80">
        <f>+'GASTOS GENERALES'!T54</f>
        <v>7020000</v>
      </c>
      <c r="T33" s="2">
        <f>+'GASTOS GENERALES'!U54</f>
        <v>42885</v>
      </c>
      <c r="U33" s="1">
        <f>+'GASTOS GENERALES'!V54</f>
        <v>0</v>
      </c>
      <c r="V33" s="1" t="str">
        <f>+'GASTOS GENERALES'!W54</f>
        <v>SOLUTION COPY LTDA.</v>
      </c>
    </row>
    <row r="34" spans="1:22" ht="102.75" customHeight="1" x14ac:dyDescent="0.25">
      <c r="A34" s="1" t="s">
        <v>294</v>
      </c>
      <c r="B34" s="1" t="s">
        <v>296</v>
      </c>
      <c r="C34" s="1">
        <f>+'GASTOS GENERALES'!C56</f>
        <v>256</v>
      </c>
      <c r="D34" s="1">
        <f>+'GASTOS GENERALES'!D56</f>
        <v>0</v>
      </c>
      <c r="E34" s="1" t="str">
        <f>+'GASTOS GENERALES'!E56</f>
        <v>Adición No. 1  del 2017 a la  Carta de Aceptación de la Oferta No. 30 de 2016 - 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v>
      </c>
      <c r="F34" s="1">
        <f>+'GASTOS GENERALES'!F56</f>
        <v>80161801</v>
      </c>
      <c r="G34" s="1" t="str">
        <f>+'GASTOS GENERALES'!G56</f>
        <v>Profesional Universitario 219-02 Servicios Generales</v>
      </c>
      <c r="H34" s="1" t="str">
        <f>+'GASTOS GENERALES'!H56</f>
        <v>Subdirección Administrativa financiera</v>
      </c>
      <c r="I34" s="1" t="str">
        <f>+'GASTOS GENERALES'!I56</f>
        <v xml:space="preserve"> lcorrea@idep.edu.co</v>
      </c>
      <c r="J34" s="1" t="str">
        <f>+'GASTOS GENERALES'!J56</f>
        <v>Abril</v>
      </c>
      <c r="K34" s="1">
        <f>+'GASTOS GENERALES'!K56</f>
        <v>2</v>
      </c>
      <c r="L34" s="1">
        <f>+'GASTOS GENERALES'!M56</f>
        <v>0</v>
      </c>
      <c r="M34" s="1">
        <f>+'GASTOS GENERALES'!N56</f>
        <v>200000</v>
      </c>
      <c r="O34" s="80">
        <f>+'GASTOS GENERALES'!P56</f>
        <v>200000</v>
      </c>
      <c r="P34" s="4">
        <f>+'GASTOS GENERALES'!Q56</f>
        <v>1</v>
      </c>
      <c r="Q34" s="80">
        <f>+'GASTOS GENERALES'!R56</f>
        <v>200000</v>
      </c>
      <c r="R34" s="80">
        <f>+'GASTOS GENERALES'!S56</f>
        <v>0</v>
      </c>
      <c r="S34" s="80">
        <f>+'GASTOS GENERALES'!T56</f>
        <v>200000</v>
      </c>
      <c r="T34" s="2">
        <f>+'GASTOS GENERALES'!U56</f>
        <v>42859</v>
      </c>
      <c r="U34" s="4">
        <f>+'GASTOS GENERALES'!V56</f>
        <v>0</v>
      </c>
      <c r="V34" s="4" t="str">
        <f>+'GASTOS GENERALES'!W56</f>
        <v>SOLUTION COPY LTDA</v>
      </c>
    </row>
    <row r="35" spans="1:22" ht="45" x14ac:dyDescent="0.25">
      <c r="A35" s="1" t="s">
        <v>294</v>
      </c>
      <c r="B35" s="1" t="s">
        <v>296</v>
      </c>
      <c r="C35" s="1">
        <f>+'GASTOS GENERALES'!C57</f>
        <v>19</v>
      </c>
      <c r="D35" s="1">
        <f>+'GASTOS GENERALES'!D57</f>
        <v>0</v>
      </c>
      <c r="E35" s="1" t="str">
        <f>+'GASTOS GENERALES'!E57</f>
        <v xml:space="preserve">CAJA MENOR </v>
      </c>
      <c r="F35" s="1" t="str">
        <f>+'GASTOS GENERALES'!F57</f>
        <v>NO APLICA</v>
      </c>
      <c r="G35" s="1" t="str">
        <f>+'GASTOS GENERALES'!G57</f>
        <v>Técnico de Contabilidad</v>
      </c>
      <c r="H35" s="83" t="str">
        <f>+'GASTOS GENERALES'!H48</f>
        <v>Subdirección Adminsitrativa Financiera</v>
      </c>
      <c r="I35" s="1" t="str">
        <f>+'GASTOS GENERALES'!J57</f>
        <v>Febrero</v>
      </c>
      <c r="J35" s="1">
        <f>+'GASTOS GENERALES'!K57</f>
        <v>11</v>
      </c>
      <c r="K35" s="1" t="str">
        <f>+'GASTOS GENERALES'!L57</f>
        <v>NA</v>
      </c>
      <c r="L35" s="1" t="str">
        <f>+'GASTOS GENERALES'!M57</f>
        <v>Gastos
 Directos</v>
      </c>
      <c r="M35" s="80">
        <f>+'GASTOS GENERALES'!N57</f>
        <v>2750000</v>
      </c>
      <c r="N35" s="80">
        <f>+'GASTOS GENERALES'!O57</f>
        <v>0</v>
      </c>
      <c r="O35" s="80">
        <f>+'GASTOS GENERALES'!P57</f>
        <v>2750000</v>
      </c>
      <c r="P35" s="1">
        <f>+'GASTOS GENERALES'!Q57</f>
        <v>0</v>
      </c>
      <c r="Q35" s="80">
        <f>+'GASTOS GENERALES'!R57</f>
        <v>334150</v>
      </c>
      <c r="R35" s="80">
        <f>+'GASTOS GENERALES'!S57</f>
        <v>0</v>
      </c>
      <c r="S35" s="80">
        <f>+'GASTOS GENERALES'!T57</f>
        <v>334150</v>
      </c>
      <c r="T35" s="2">
        <f>+'GASTOS GENERALES'!U57</f>
        <v>0</v>
      </c>
      <c r="U35" s="1">
        <f>+'GASTOS GENERALES'!V57</f>
        <v>0</v>
      </c>
      <c r="V35" s="1">
        <f>+'GASTOS GENERALES'!W57</f>
        <v>0</v>
      </c>
    </row>
    <row r="36" spans="1:22" ht="58.5" customHeight="1" x14ac:dyDescent="0.25">
      <c r="A36" s="1" t="s">
        <v>294</v>
      </c>
      <c r="B36" s="1" t="s">
        <v>296</v>
      </c>
      <c r="C36" s="1">
        <f>+'GASTOS GENERALES'!C58</f>
        <v>29</v>
      </c>
      <c r="D36" s="1">
        <f>+'GASTOS GENERALES'!D58</f>
        <v>0</v>
      </c>
      <c r="E36" s="1" t="str">
        <f>+'GASTOS GENERALES'!E58</f>
        <v>ISBN 2017</v>
      </c>
      <c r="F36" s="1" t="str">
        <f>+'GASTOS GENERALES'!F58</f>
        <v>NO APLICA</v>
      </c>
      <c r="G36" s="1" t="str">
        <f>+'GASTOS GENERALES'!G58</f>
        <v>Profesional 222-05</v>
      </c>
      <c r="H36" s="83" t="str">
        <f>+'GASTOS GENERALES'!H49</f>
        <v>Subdirección Administrativa financiera</v>
      </c>
      <c r="I36" s="1" t="str">
        <f>+'GASTOS GENERALES'!J58</f>
        <v>Abril</v>
      </c>
      <c r="J36" s="1">
        <f>+'GASTOS GENERALES'!K58</f>
        <v>10</v>
      </c>
      <c r="K36" s="1" t="str">
        <f>+'GASTOS GENERALES'!L58</f>
        <v>NA</v>
      </c>
      <c r="L36" s="1" t="str">
        <f>+'GASTOS GENERALES'!M58</f>
        <v>Gastos
 Directos</v>
      </c>
      <c r="M36" s="80">
        <f>+'GASTOS GENERALES'!N58</f>
        <v>1050000</v>
      </c>
      <c r="N36" s="80">
        <f>+'GASTOS GENERALES'!O58</f>
        <v>0</v>
      </c>
      <c r="O36" s="80">
        <f>+'GASTOS GENERALES'!P58</f>
        <v>1050000</v>
      </c>
      <c r="P36" s="1">
        <f>+'GASTOS GENERALES'!Q58</f>
        <v>0</v>
      </c>
      <c r="Q36" s="80">
        <f>+'GASTOS GENERALES'!R58</f>
        <v>525000</v>
      </c>
      <c r="R36" s="80">
        <f>+'GASTOS GENERALES'!S58</f>
        <v>0</v>
      </c>
      <c r="S36" s="80">
        <f>+'GASTOS GENERALES'!T58</f>
        <v>525000</v>
      </c>
      <c r="T36" s="2">
        <f>+'GASTOS GENERALES'!U58</f>
        <v>0</v>
      </c>
      <c r="U36" s="1">
        <f>+'GASTOS GENERALES'!V58</f>
        <v>0</v>
      </c>
      <c r="V36" s="1" t="str">
        <f>+'GASTOS GENERALES'!W58</f>
        <v>Camara de comercio</v>
      </c>
    </row>
    <row r="37" spans="1:22" ht="60.75" customHeight="1" x14ac:dyDescent="0.25">
      <c r="A37" s="1" t="s">
        <v>294</v>
      </c>
      <c r="B37" s="1" t="s">
        <v>297</v>
      </c>
      <c r="C37" s="1">
        <f>+'GASTOS GENERALES'!C60</f>
        <v>30</v>
      </c>
      <c r="D37" s="1">
        <f>+'GASTOS GENERALES'!D60</f>
        <v>32</v>
      </c>
      <c r="E37" s="1" t="str">
        <f>+'GASTOS GENERALES'!E60</f>
        <v>Prestación de los servicios de aseo y cafetería, con suministro de insumos, en las instalaciones del Instituto para la Investigación Educativa y el Desarrollo Pedagógico - IDEP.</v>
      </c>
      <c r="F37" s="1" t="str">
        <f>+'GASTOS GENERALES'!F60</f>
        <v>76111501
 95121503</v>
      </c>
      <c r="G37" s="6" t="str">
        <f>+'GASTOS GENERALES'!G60</f>
        <v>Profesional Universitario 219-02 Servicios Generales</v>
      </c>
      <c r="H37" s="6" t="str">
        <f>+'GASTOS GENERALES'!H60</f>
        <v>Subdirección Administrativa financiera</v>
      </c>
      <c r="I37" s="3" t="str">
        <f>+'GASTOS GENERALES'!J60</f>
        <v>Mayo</v>
      </c>
      <c r="J37" s="4">
        <f>+'GASTOS GENERALES'!K60</f>
        <v>12</v>
      </c>
      <c r="K37" s="4" t="str">
        <f>+'GASTOS GENERALES'!L60</f>
        <v>TIENDA VIRTUAL - COLOMBIA COMPRA EFICIENTE</v>
      </c>
      <c r="L37" s="4" t="str">
        <f>+'GASTOS GENERALES'!M60</f>
        <v>Selección
 Abreviada</v>
      </c>
      <c r="M37" s="80">
        <f>+'GASTOS GENERALES'!N60</f>
        <v>38148843</v>
      </c>
      <c r="N37" s="80">
        <f>+'GASTOS GENERALES'!O60</f>
        <v>0</v>
      </c>
      <c r="O37" s="80">
        <f>+'GASTOS GENERALES'!P60</f>
        <v>38148843</v>
      </c>
      <c r="P37" s="4">
        <f>+'GASTOS GENERALES'!Q60</f>
        <v>1</v>
      </c>
      <c r="Q37" s="80">
        <f>+'GASTOS GENERALES'!R60</f>
        <v>38148843</v>
      </c>
      <c r="R37" s="80">
        <f>+'GASTOS GENERALES'!S60</f>
        <v>0</v>
      </c>
      <c r="S37" s="80">
        <f>+'GASTOS GENERALES'!T60</f>
        <v>38148843</v>
      </c>
      <c r="T37" s="2">
        <f>+'GASTOS GENERALES'!U60</f>
        <v>42859</v>
      </c>
      <c r="U37" s="4">
        <f>+'GASTOS GENERALES'!V60</f>
        <v>71</v>
      </c>
      <c r="V37" s="4" t="str">
        <f>+'GASTOS GENERALES'!W60</f>
        <v>UNION TEMPORAL BIOLIMPIEZA</v>
      </c>
    </row>
    <row r="38" spans="1:22" ht="60.75" customHeight="1" x14ac:dyDescent="0.25">
      <c r="A38" s="1" t="s">
        <v>294</v>
      </c>
      <c r="B38" s="1" t="s">
        <v>297</v>
      </c>
      <c r="C38" s="1" t="e">
        <f>+'GASTOS GENERALES'!#REF!</f>
        <v>#REF!</v>
      </c>
      <c r="D38" s="1" t="e">
        <f>+'GASTOS GENERALES'!#REF!</f>
        <v>#REF!</v>
      </c>
      <c r="E38" s="1" t="e">
        <f>+'GASTOS GENERALES'!#REF!</f>
        <v>#REF!</v>
      </c>
      <c r="F38" s="1" t="e">
        <f>+'GASTOS GENERALES'!#REF!</f>
        <v>#REF!</v>
      </c>
      <c r="G38" s="6" t="e">
        <f>+'GASTOS GENERALES'!#REF!</f>
        <v>#REF!</v>
      </c>
      <c r="H38" s="6" t="e">
        <f>+'GASTOS GENERALES'!#REF!</f>
        <v>#REF!</v>
      </c>
      <c r="I38" s="3"/>
      <c r="J38" s="4" t="e">
        <f>+'GASTOS GENERALES'!#REF!</f>
        <v>#REF!</v>
      </c>
      <c r="K38" s="4" t="e">
        <f>+'GASTOS GENERALES'!#REF!</f>
        <v>#REF!</v>
      </c>
      <c r="L38" s="4" t="e">
        <f>+'GASTOS GENERALES'!#REF!</f>
        <v>#REF!</v>
      </c>
      <c r="M38" s="80" t="e">
        <f>+'GASTOS GENERALES'!#REF!</f>
        <v>#REF!</v>
      </c>
      <c r="N38" s="80" t="e">
        <f>+'GASTOS GENERALES'!#REF!</f>
        <v>#REF!</v>
      </c>
      <c r="O38" s="80" t="e">
        <f>+'GASTOS GENERALES'!#REF!</f>
        <v>#REF!</v>
      </c>
      <c r="P38" s="4" t="e">
        <f>+'GASTOS GENERALES'!#REF!</f>
        <v>#REF!</v>
      </c>
      <c r="Q38" s="80" t="e">
        <f>+'GASTOS GENERALES'!#REF!</f>
        <v>#REF!</v>
      </c>
      <c r="R38" s="80" t="e">
        <f>+'GASTOS GENERALES'!#REF!</f>
        <v>#REF!</v>
      </c>
      <c r="S38" s="80" t="e">
        <f>+'GASTOS GENERALES'!#REF!</f>
        <v>#REF!</v>
      </c>
      <c r="T38" s="2"/>
      <c r="U38" s="4"/>
      <c r="V38" s="4"/>
    </row>
    <row r="39" spans="1:22" ht="42.75" customHeight="1" x14ac:dyDescent="0.25">
      <c r="A39" s="1" t="s">
        <v>294</v>
      </c>
      <c r="B39" s="1" t="s">
        <v>297</v>
      </c>
      <c r="C39" s="1">
        <f>+'GASTOS GENERALES'!C62</f>
        <v>31</v>
      </c>
      <c r="D39" s="1">
        <f>+'GASTOS GENERALES'!D62</f>
        <v>33</v>
      </c>
      <c r="E39" s="1" t="str">
        <f>+'GASTOS GENERALES'!E62</f>
        <v xml:space="preserve">Prestación de servicios de mantenimiento preventivo y correctivo del parque automotor del IDEP con suministro de respuestos  </v>
      </c>
      <c r="F39" s="1">
        <f>+'GASTOS GENERALES'!F62</f>
        <v>78181500</v>
      </c>
      <c r="G39" s="6" t="str">
        <f>+'GASTOS GENERALES'!G62</f>
        <v>Profesional Universitario 219-02 Servicios Generales</v>
      </c>
      <c r="H39" s="83" t="str">
        <f>+'GASTOS GENERALES'!H52</f>
        <v>Subdirección Administrativa financiera</v>
      </c>
      <c r="I39" s="3" t="str">
        <f>+'GASTOS GENERALES'!J62</f>
        <v>Noviembre</v>
      </c>
      <c r="J39" s="4">
        <f>+'GASTOS GENERALES'!K62</f>
        <v>6</v>
      </c>
      <c r="K39" s="4" t="str">
        <f>+'GASTOS GENERALES'!L62</f>
        <v>MINIMA CUANTÍA</v>
      </c>
      <c r="L39" s="4" t="str">
        <f>+'GASTOS GENERALES'!M62</f>
        <v>Minima Cuantia</v>
      </c>
      <c r="M39" s="80">
        <f>+'GASTOS GENERALES'!N62</f>
        <v>3839425</v>
      </c>
      <c r="N39" s="80">
        <f>+'GASTOS GENERALES'!O62</f>
        <v>0</v>
      </c>
      <c r="O39" s="80">
        <f>+'GASTOS GENERALES'!P62</f>
        <v>3839425</v>
      </c>
      <c r="P39" s="4">
        <f>+'GASTOS GENERALES'!Q62</f>
        <v>0</v>
      </c>
      <c r="Q39" s="80">
        <f>+'GASTOS GENERALES'!R62</f>
        <v>0</v>
      </c>
      <c r="R39" s="80">
        <f>+'GASTOS GENERALES'!S62</f>
        <v>0</v>
      </c>
      <c r="S39" s="80">
        <f>+'GASTOS GENERALES'!T62</f>
        <v>0</v>
      </c>
      <c r="T39" s="2">
        <f>+'GASTOS GENERALES'!U62</f>
        <v>0</v>
      </c>
      <c r="U39" s="4">
        <f>+'GASTOS GENERALES'!V62</f>
        <v>0</v>
      </c>
      <c r="V39" s="4">
        <f>+'GASTOS GENERALES'!W62</f>
        <v>0</v>
      </c>
    </row>
    <row r="40" spans="1:22" ht="42.75" customHeight="1" x14ac:dyDescent="0.25">
      <c r="A40" s="1" t="s">
        <v>294</v>
      </c>
      <c r="B40" s="1" t="s">
        <v>297</v>
      </c>
      <c r="C40" s="1">
        <f>+'GASTOS GENERALES'!C63</f>
        <v>194</v>
      </c>
      <c r="D40" s="1">
        <f>+'GASTOS GENERALES'!D63</f>
        <v>0</v>
      </c>
      <c r="E40" s="1" t="str">
        <f>+'GASTOS GENERALES'!E63</f>
        <v>Adición No. 1 del 2017 al contrato No. 31 de 2016 Prestación de los servicios de aseo y cafetería, con suministro de insumos, en las instalaciones del Instituto para la Investigación Educativa y el Desarrollo Pedagógico - IDEP.</v>
      </c>
      <c r="F40" s="1" t="str">
        <f>+'GASTOS GENERALES'!F63</f>
        <v>76111501
 95121503</v>
      </c>
      <c r="G40" s="6" t="str">
        <f>+'GASTOS GENERALES'!G63</f>
        <v>Profesional Universitario 219-02 Servicios Generales</v>
      </c>
      <c r="H40" s="83" t="str">
        <f>+'GASTOS GENERALES'!H63</f>
        <v>Subdirección Administrativa financiera</v>
      </c>
      <c r="I40" s="3" t="str">
        <f>+'GASTOS GENERALES'!J63</f>
        <v>Abril</v>
      </c>
      <c r="J40" s="4">
        <f>+'GASTOS GENERALES'!K63</f>
        <v>12</v>
      </c>
      <c r="K40" s="4">
        <f>+'GASTOS GENERALES'!L63</f>
        <v>0</v>
      </c>
      <c r="L40" s="4" t="str">
        <f>+'GASTOS GENERALES'!M63</f>
        <v>Selección
 Abreviada</v>
      </c>
      <c r="M40" s="80">
        <f>+'GASTOS GENERALES'!N63</f>
        <v>1135920</v>
      </c>
      <c r="N40" s="80">
        <f>+'GASTOS GENERALES'!O63</f>
        <v>0</v>
      </c>
      <c r="O40" s="80">
        <f>+'GASTOS GENERALES'!P63</f>
        <v>1135920</v>
      </c>
      <c r="P40" s="4">
        <f>+'GASTOS GENERALES'!Q63</f>
        <v>1</v>
      </c>
      <c r="Q40" s="80">
        <f>+'GASTOS GENERALES'!R63</f>
        <v>1135920</v>
      </c>
      <c r="R40" s="80">
        <f>+'GASTOS GENERALES'!S63</f>
        <v>0</v>
      </c>
      <c r="S40" s="80">
        <f>+'GASTOS GENERALES'!T63</f>
        <v>1135920</v>
      </c>
      <c r="T40" s="2">
        <f>+'GASTOS GENERALES'!U63</f>
        <v>42843</v>
      </c>
      <c r="U40" s="4">
        <f>+'GASTOS GENERALES'!V63</f>
        <v>31</v>
      </c>
      <c r="V40" s="4" t="str">
        <f>+'GASTOS GENERALES'!W63</f>
        <v>SERVIPROLUX</v>
      </c>
    </row>
    <row r="41" spans="1:22" ht="42.75" customHeight="1" x14ac:dyDescent="0.25">
      <c r="A41" s="1" t="s">
        <v>294</v>
      </c>
      <c r="B41" s="1" t="s">
        <v>297</v>
      </c>
      <c r="C41" s="1">
        <f>+'GASTOS GENERALES'!C64</f>
        <v>255</v>
      </c>
      <c r="D41" s="1">
        <f>+'GASTOS GENERALES'!D64</f>
        <v>0</v>
      </c>
      <c r="E41" s="1" t="str">
        <f>+'GASTOS GENERALES'!E64</f>
        <v>Adición No. 2  del 2017 al contrato No. 31 de 2016 - Prestación de los servicios de aseo y cafetería, con suministro de insumos, en las instalaciones del Instituto para la Investigación Educativa y el Desarrollo Pedagógico - IDEP.</v>
      </c>
      <c r="F41" s="1" t="str">
        <f>+'GASTOS GENERALES'!F64</f>
        <v>76111501
 95121503</v>
      </c>
      <c r="G41" s="1" t="str">
        <f>+'GASTOS GENERALES'!G64</f>
        <v>Profesional Universitario 219-02 Servicios Generales</v>
      </c>
      <c r="H41" s="1" t="str">
        <f>+'GASTOS GENERALES'!H64</f>
        <v>Subdirección Administrativa financiera</v>
      </c>
      <c r="I41" s="1" t="str">
        <f>+'GASTOS GENERALES'!J64</f>
        <v>Abril</v>
      </c>
      <c r="J41" s="1" t="str">
        <f>+'GASTOS GENERALES'!K64</f>
        <v>15 días</v>
      </c>
      <c r="K41" s="1">
        <f>+'GASTOS GENERALES'!L64</f>
        <v>0</v>
      </c>
      <c r="L41" s="1">
        <f>+'GASTOS GENERALES'!M64</f>
        <v>0</v>
      </c>
      <c r="M41" s="80">
        <f>+'GASTOS GENERALES'!N64</f>
        <v>2044655</v>
      </c>
      <c r="N41" s="80">
        <f>+'GASTOS GENERALES'!O64</f>
        <v>0</v>
      </c>
      <c r="O41" s="80">
        <f>+'GASTOS GENERALES'!P64</f>
        <v>2044655</v>
      </c>
      <c r="P41" s="1">
        <f>+'GASTOS GENERALES'!Q64</f>
        <v>1</v>
      </c>
      <c r="Q41" s="80">
        <f>+'GASTOS GENERALES'!R64</f>
        <v>2044655</v>
      </c>
      <c r="R41" s="80">
        <f>+'GASTOS GENERALES'!S64</f>
        <v>0</v>
      </c>
      <c r="S41" s="80">
        <f>+'GASTOS GENERALES'!T64</f>
        <v>2044655</v>
      </c>
      <c r="T41" s="2">
        <f>+'GASTOS GENERALES'!U64</f>
        <v>42859</v>
      </c>
      <c r="U41" s="1">
        <f>+'GASTOS GENERALES'!V64</f>
        <v>31</v>
      </c>
      <c r="V41" s="1" t="str">
        <f>+'GASTOS GENERALES'!W64</f>
        <v>SERVIPROLUX</v>
      </c>
    </row>
    <row r="42" spans="1:22" ht="33.75" customHeight="1" x14ac:dyDescent="0.25">
      <c r="A42" s="1" t="s">
        <v>294</v>
      </c>
      <c r="B42" s="1" t="s">
        <v>297</v>
      </c>
      <c r="C42" s="1">
        <f>+'GASTOS GENERALES'!C65</f>
        <v>19</v>
      </c>
      <c r="D42" s="1">
        <f>+'GASTOS GENERALES'!D65</f>
        <v>0</v>
      </c>
      <c r="E42" s="1" t="str">
        <f>+'GASTOS GENERALES'!E65</f>
        <v xml:space="preserve">CAJA MENOR </v>
      </c>
      <c r="F42" s="1" t="str">
        <f>+'GASTOS GENERALES'!F65</f>
        <v>NO APLICA</v>
      </c>
      <c r="G42" s="1" t="str">
        <f>+'GASTOS GENERALES'!G65</f>
        <v>Técnico de Contabilidad</v>
      </c>
      <c r="H42" s="1" t="str">
        <f>+'GASTOS GENERALES'!H65</f>
        <v>Subdirección Administrativa financiera</v>
      </c>
      <c r="I42" s="1" t="str">
        <f>+'GASTOS GENERALES'!J65</f>
        <v>Febrero</v>
      </c>
      <c r="J42" s="1">
        <f>+'GASTOS GENERALES'!K65</f>
        <v>11</v>
      </c>
      <c r="K42" s="1" t="str">
        <f>+'GASTOS GENERALES'!L65</f>
        <v>NA</v>
      </c>
      <c r="L42" s="1" t="str">
        <f>+'GASTOS GENERALES'!M65</f>
        <v>Gastos
 Directos</v>
      </c>
      <c r="M42" s="80">
        <f>+'GASTOS GENERALES'!N65</f>
        <v>2750000</v>
      </c>
      <c r="N42" s="80">
        <f>+'GASTOS GENERALES'!O65</f>
        <v>0</v>
      </c>
      <c r="O42" s="80">
        <f>+'GASTOS GENERALES'!P65</f>
        <v>2750000</v>
      </c>
      <c r="P42" s="1">
        <f>+'GASTOS GENERALES'!Q65</f>
        <v>0</v>
      </c>
      <c r="Q42" s="80">
        <f>+'GASTOS GENERALES'!R65</f>
        <v>1000980</v>
      </c>
      <c r="R42" s="80">
        <f>+'GASTOS GENERALES'!S65</f>
        <v>0</v>
      </c>
      <c r="S42" s="80">
        <f>+'GASTOS GENERALES'!T65</f>
        <v>1000980</v>
      </c>
      <c r="T42" s="2">
        <f>+'GASTOS GENERALES'!U65</f>
        <v>0</v>
      </c>
      <c r="U42" s="1">
        <f>+'GASTOS GENERALES'!V65</f>
        <v>0</v>
      </c>
      <c r="V42" s="1">
        <f>+'GASTOS GENERALES'!W65</f>
        <v>0</v>
      </c>
    </row>
    <row r="43" spans="1:22" ht="72" customHeight="1" x14ac:dyDescent="0.25">
      <c r="A43" s="1" t="s">
        <v>294</v>
      </c>
      <c r="B43" s="1" t="s">
        <v>297</v>
      </c>
      <c r="C43" s="1">
        <f>+'GASTOS GENERALES'!C68</f>
        <v>33</v>
      </c>
      <c r="D43" s="1">
        <f>+'GASTOS GENERALES'!D68</f>
        <v>37</v>
      </c>
      <c r="E43" s="1" t="str">
        <f>+'GASTOS GENERALES'!E68</f>
        <v>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v>
      </c>
      <c r="F43" s="1">
        <f>+'GASTOS GENERALES'!F68</f>
        <v>84131501</v>
      </c>
      <c r="G43" s="6" t="str">
        <f>+'GASTOS GENERALES'!G68</f>
        <v>Subdirector Administrativo Financiero</v>
      </c>
      <c r="H43" s="83" t="str">
        <f>+'GASTOS GENERALES'!H54</f>
        <v>Subdirección Administrativa financiera</v>
      </c>
      <c r="I43" s="4" t="str">
        <f>+'GASTOS GENERALES'!J68</f>
        <v>octubre</v>
      </c>
      <c r="J43" s="4">
        <f>+'GASTOS GENERALES'!K68</f>
        <v>12</v>
      </c>
      <c r="K43" s="4" t="str">
        <f>+'GASTOS GENERALES'!L68</f>
        <v>SELECCIÓN ABREVIADA - MENOR CUANTÍA</v>
      </c>
      <c r="L43" s="4" t="str">
        <f>+'GASTOS GENERALES'!M68</f>
        <v>Selección 
Abreviada</v>
      </c>
      <c r="M43" s="80">
        <f>+'GASTOS GENERALES'!N68</f>
        <v>59969759</v>
      </c>
      <c r="N43" s="80">
        <f>+'GASTOS GENERALES'!O68</f>
        <v>0</v>
      </c>
      <c r="O43" s="80">
        <f>+'GASTOS GENERALES'!P68</f>
        <v>59969759</v>
      </c>
      <c r="P43" s="4">
        <f>+'GASTOS GENERALES'!Q68</f>
        <v>0</v>
      </c>
      <c r="Q43" s="80">
        <f>+'GASTOS GENERALES'!R68</f>
        <v>59969759</v>
      </c>
      <c r="R43" s="80">
        <f>+'GASTOS GENERALES'!S68</f>
        <v>0</v>
      </c>
      <c r="S43" s="80">
        <f>+'GASTOS GENERALES'!T68</f>
        <v>59969759</v>
      </c>
      <c r="T43" s="2">
        <f>+'GASTOS GENERALES'!U68</f>
        <v>43032</v>
      </c>
      <c r="U43" s="4">
        <f>+'GASTOS GENERALES'!V68</f>
        <v>112</v>
      </c>
      <c r="V43" s="4" t="str">
        <f>+'GASTOS GENERALES'!W68</f>
        <v>Aseguradora solidaria de colombia</v>
      </c>
    </row>
    <row r="44" spans="1:22" ht="75" x14ac:dyDescent="0.25">
      <c r="A44" s="1" t="s">
        <v>294</v>
      </c>
      <c r="B44" s="1" t="s">
        <v>295</v>
      </c>
      <c r="C44" s="1">
        <f>+'GASTOS GENERALES'!C73</f>
        <v>5</v>
      </c>
      <c r="D44" s="1">
        <f>+'GASTOS GENERALES'!D73</f>
        <v>0</v>
      </c>
      <c r="E44" s="1" t="str">
        <f>+'GASTOS GENERALES'!E73</f>
        <v>ENERGIA</v>
      </c>
      <c r="F44" s="1" t="str">
        <f>+'GASTOS GENERALES'!F73</f>
        <v xml:space="preserve"> NO APLICA</v>
      </c>
      <c r="G44" s="1" t="str">
        <f>+'GASTOS GENERALES'!G73</f>
        <v>Profesional Universitario 219-02 Servicios Generales</v>
      </c>
      <c r="H44" s="1" t="str">
        <f>+'GASTOS GENERALES'!H73</f>
        <v>Subdirección Administrativa financiera</v>
      </c>
      <c r="I44" s="1" t="str">
        <f>+'GASTOS GENERALES'!J73</f>
        <v>Enero</v>
      </c>
      <c r="J44" s="1">
        <f>+'GASTOS GENERALES'!K73</f>
        <v>12</v>
      </c>
      <c r="K44" s="1" t="str">
        <f>+'GASTOS GENERALES'!L73</f>
        <v>NA</v>
      </c>
      <c r="L44" s="1" t="str">
        <f>+'GASTOS GENERALES'!M73</f>
        <v>Gastos 
Directos</v>
      </c>
      <c r="M44" s="80">
        <f>+'GASTOS GENERALES'!N73</f>
        <v>25000000</v>
      </c>
      <c r="N44" s="80">
        <f>+'GASTOS GENERALES'!O73</f>
        <v>0</v>
      </c>
      <c r="O44" s="80">
        <f>+'GASTOS GENERALES'!P73</f>
        <v>25000000</v>
      </c>
      <c r="P44" s="1">
        <f>+'GASTOS GENERALES'!Q73</f>
        <v>0</v>
      </c>
      <c r="Q44" s="80">
        <f>+'GASTOS GENERALES'!R73</f>
        <v>19472030</v>
      </c>
      <c r="R44" s="80">
        <f>+'GASTOS GENERALES'!S73</f>
        <v>0</v>
      </c>
      <c r="S44" s="80">
        <f>+'GASTOS GENERALES'!T73</f>
        <v>19472030</v>
      </c>
      <c r="T44" s="2">
        <f>+'GASTOS GENERALES'!U73</f>
        <v>0</v>
      </c>
      <c r="U44" s="1">
        <f>+'GASTOS GENERALES'!V73</f>
        <v>0</v>
      </c>
      <c r="V44" s="1">
        <f>+'GASTOS GENERALES'!W73</f>
        <v>0</v>
      </c>
    </row>
    <row r="45" spans="1:22" ht="75" x14ac:dyDescent="0.25">
      <c r="A45" s="1" t="s">
        <v>294</v>
      </c>
      <c r="B45" s="1" t="s">
        <v>295</v>
      </c>
      <c r="C45" s="1">
        <f>+'GASTOS GENERALES'!C74</f>
        <v>5</v>
      </c>
      <c r="D45" s="1">
        <f>+'GASTOS GENERALES'!D74</f>
        <v>0</v>
      </c>
      <c r="E45" s="1" t="str">
        <f>+'GASTOS GENERALES'!E74</f>
        <v>ACUEDUCTO</v>
      </c>
      <c r="F45" s="1" t="str">
        <f>+'GASTOS GENERALES'!F74</f>
        <v xml:space="preserve"> NO APLICA</v>
      </c>
      <c r="G45" s="1" t="str">
        <f>+'GASTOS GENERALES'!G74</f>
        <v>Profesional Universitario 219-02 Servicios Generales</v>
      </c>
      <c r="H45" s="1" t="str">
        <f>+'GASTOS GENERALES'!H74</f>
        <v>Subdirección Administrativa financiera</v>
      </c>
      <c r="I45" s="1" t="str">
        <f>+'GASTOS GENERALES'!J74</f>
        <v>Enero</v>
      </c>
      <c r="J45" s="1">
        <f>+'GASTOS GENERALES'!K74</f>
        <v>12</v>
      </c>
      <c r="K45" s="1">
        <f>+'GASTOS GENERALES'!L74</f>
        <v>0</v>
      </c>
      <c r="L45" s="1" t="str">
        <f>+'GASTOS GENERALES'!M74</f>
        <v>Gastos 
Directos</v>
      </c>
      <c r="M45" s="80">
        <f>+'GASTOS GENERALES'!N74</f>
        <v>2575000</v>
      </c>
      <c r="N45" s="80">
        <f>+'GASTOS GENERALES'!O74</f>
        <v>0</v>
      </c>
      <c r="O45" s="80">
        <f>+'GASTOS GENERALES'!P74</f>
        <v>2575000</v>
      </c>
      <c r="P45" s="1">
        <f>+'GASTOS GENERALES'!Q74</f>
        <v>0</v>
      </c>
      <c r="Q45" s="80">
        <f>+'GASTOS GENERALES'!R74</f>
        <v>470790</v>
      </c>
      <c r="R45" s="80">
        <f>+'GASTOS GENERALES'!S74</f>
        <v>0</v>
      </c>
      <c r="S45" s="80">
        <f>+'GASTOS GENERALES'!T74</f>
        <v>470790</v>
      </c>
      <c r="T45" s="2">
        <f>+'GASTOS GENERALES'!U74</f>
        <v>0</v>
      </c>
      <c r="U45" s="1">
        <f>+'GASTOS GENERALES'!V74</f>
        <v>0</v>
      </c>
      <c r="V45" s="1">
        <f>+'GASTOS GENERALES'!W74</f>
        <v>0</v>
      </c>
    </row>
    <row r="46" spans="1:22" ht="72" customHeight="1" x14ac:dyDescent="0.25">
      <c r="A46" s="1" t="s">
        <v>294</v>
      </c>
      <c r="B46" s="1" t="s">
        <v>295</v>
      </c>
      <c r="C46" s="1">
        <f>+'GASTOS GENERALES'!C75</f>
        <v>5</v>
      </c>
      <c r="D46" s="1">
        <f>+'GASTOS GENERALES'!D75</f>
        <v>0</v>
      </c>
      <c r="E46" s="1" t="str">
        <f>+'GASTOS GENERALES'!E75</f>
        <v>ASEO</v>
      </c>
      <c r="F46" s="1" t="str">
        <f>+'GASTOS GENERALES'!F75</f>
        <v xml:space="preserve"> NO APLICA</v>
      </c>
      <c r="G46" s="1" t="str">
        <f>+'GASTOS GENERALES'!G75</f>
        <v>Profesional Universitario 219-02 Servicios Generales</v>
      </c>
      <c r="H46" s="1" t="str">
        <f>+'GASTOS GENERALES'!H75</f>
        <v>Subdirección Administrativa financiera</v>
      </c>
      <c r="I46" s="1" t="str">
        <f>+'GASTOS GENERALES'!J75</f>
        <v>Enero</v>
      </c>
      <c r="J46" s="1">
        <f>+'GASTOS GENERALES'!K75</f>
        <v>12</v>
      </c>
      <c r="K46" s="1">
        <f>+'GASTOS GENERALES'!L75</f>
        <v>0</v>
      </c>
      <c r="L46" s="1" t="str">
        <f>+'GASTOS GENERALES'!M75</f>
        <v>Gastos 
Directos</v>
      </c>
      <c r="M46" s="80">
        <f>+'GASTOS GENERALES'!N75</f>
        <v>4120000</v>
      </c>
      <c r="N46" s="80">
        <f>+'GASTOS GENERALES'!O75</f>
        <v>0</v>
      </c>
      <c r="O46" s="80">
        <f>+'GASTOS GENERALES'!P75</f>
        <v>4120000</v>
      </c>
      <c r="P46" s="1">
        <f>+'GASTOS GENERALES'!Q75</f>
        <v>0</v>
      </c>
      <c r="Q46" s="80">
        <f>+'GASTOS GENERALES'!R75</f>
        <v>599606</v>
      </c>
      <c r="R46" s="80">
        <f>+'GASTOS GENERALES'!S75</f>
        <v>0</v>
      </c>
      <c r="S46" s="80">
        <f>+'GASTOS GENERALES'!T75</f>
        <v>599606</v>
      </c>
      <c r="T46" s="2">
        <f>+'GASTOS GENERALES'!U75</f>
        <v>0</v>
      </c>
      <c r="U46" s="1">
        <f>+'GASTOS GENERALES'!V75</f>
        <v>0</v>
      </c>
      <c r="V46" s="1">
        <f>+'GASTOS GENERALES'!W75</f>
        <v>0</v>
      </c>
    </row>
    <row r="47" spans="1:22" ht="75" x14ac:dyDescent="0.25">
      <c r="A47" s="1" t="s">
        <v>294</v>
      </c>
      <c r="B47" s="1" t="s">
        <v>295</v>
      </c>
      <c r="C47" s="1">
        <f>+'GASTOS GENERALES'!C76</f>
        <v>5</v>
      </c>
      <c r="D47" s="1">
        <f>+'GASTOS GENERALES'!D76</f>
        <v>0</v>
      </c>
      <c r="E47" s="1" t="str">
        <f>+'GASTOS GENERALES'!E76</f>
        <v>TELEFONOS</v>
      </c>
      <c r="F47" s="1" t="str">
        <f>+'GASTOS GENERALES'!F76</f>
        <v xml:space="preserve"> NO APLICA</v>
      </c>
      <c r="G47" s="1" t="str">
        <f>+'GASTOS GENERALES'!G76</f>
        <v>Profesional Universitario 219-02 Servicios Generales</v>
      </c>
      <c r="H47" s="1" t="str">
        <f>+'GASTOS GENERALES'!H76</f>
        <v>Subdirección Administrativa financiera</v>
      </c>
      <c r="I47" s="1" t="str">
        <f>+'GASTOS GENERALES'!J76</f>
        <v>Enero</v>
      </c>
      <c r="J47" s="1">
        <f>+'GASTOS GENERALES'!K76</f>
        <v>12</v>
      </c>
      <c r="K47" s="1">
        <f>+'GASTOS GENERALES'!L76</f>
        <v>0</v>
      </c>
      <c r="L47" s="1" t="str">
        <f>+'GASTOS GENERALES'!M76</f>
        <v>Gastos 
Directos</v>
      </c>
      <c r="M47" s="80">
        <f>+'GASTOS GENERALES'!N76</f>
        <v>23925000</v>
      </c>
      <c r="N47" s="80">
        <f>+'GASTOS GENERALES'!O76</f>
        <v>0</v>
      </c>
      <c r="O47" s="80">
        <f>+'GASTOS GENERALES'!P76</f>
        <v>23925000</v>
      </c>
      <c r="P47" s="1">
        <f>+'GASTOS GENERALES'!Q76</f>
        <v>0</v>
      </c>
      <c r="Q47" s="80">
        <f>+'GASTOS GENERALES'!R76</f>
        <v>14780120</v>
      </c>
      <c r="R47" s="80">
        <f>+'GASTOS GENERALES'!S76</f>
        <v>0</v>
      </c>
      <c r="S47" s="80">
        <f>+'GASTOS GENERALES'!T76</f>
        <v>14780120</v>
      </c>
      <c r="T47" s="2">
        <f>+'GASTOS GENERALES'!U76</f>
        <v>0</v>
      </c>
      <c r="U47" s="1">
        <f>+'GASTOS GENERALES'!V76</f>
        <v>0</v>
      </c>
      <c r="V47" s="1">
        <f>+'GASTOS GENERALES'!W76</f>
        <v>0</v>
      </c>
    </row>
    <row r="48" spans="1:22" x14ac:dyDescent="0.25">
      <c r="A48" s="1" t="s">
        <v>294</v>
      </c>
      <c r="B48" s="4" t="s">
        <v>298</v>
      </c>
      <c r="C48" s="4">
        <f>+'GASTOS GENERALES'!C78</f>
        <v>282</v>
      </c>
      <c r="D48" s="4">
        <f>+'GASTOS GENERALES'!D78</f>
        <v>38</v>
      </c>
      <c r="E48" s="4" t="str">
        <f>+'GASTOS GENERALES'!E78</f>
        <v>Prestación de servicios profesionales  para  realizar  la capacitación a los servidores y servidoras del  IDEP</v>
      </c>
      <c r="F48" s="4">
        <f>+'GASTOS GENERALES'!F78</f>
        <v>86101705</v>
      </c>
      <c r="G48" s="4" t="str">
        <f>+'GASTOS GENERALES'!G78</f>
        <v>Profesional Especializado 222-03</v>
      </c>
      <c r="H48" s="4" t="str">
        <f>+'GASTOS GENERALES'!H78</f>
        <v>Subdirección Administrativa financiera</v>
      </c>
      <c r="I48" s="4" t="str">
        <f>+'GASTOS GENERALES'!J78</f>
        <v>Julio</v>
      </c>
      <c r="J48" s="4">
        <f>+'GASTOS GENERALES'!K78</f>
        <v>2</v>
      </c>
      <c r="K48" s="4" t="str">
        <f>+'GASTOS GENERALES'!L78</f>
        <v>MINIMA CUANTÍA</v>
      </c>
      <c r="L48" s="4" t="str">
        <f>+'GASTOS GENERALES'!M78</f>
        <v>Minima cuantia</v>
      </c>
      <c r="M48" s="80">
        <f>+'GASTOS GENERALES'!N78</f>
        <v>12950000</v>
      </c>
      <c r="N48" s="80">
        <f>+'GASTOS GENERALES'!O78</f>
        <v>0</v>
      </c>
      <c r="O48" s="80">
        <f>+'GASTOS GENERALES'!P78</f>
        <v>12950000</v>
      </c>
      <c r="P48" s="4">
        <f>+'GASTOS GENERALES'!Q78</f>
        <v>0</v>
      </c>
      <c r="Q48" s="80">
        <f>+'GASTOS GENERALES'!R78</f>
        <v>12950000</v>
      </c>
      <c r="R48" s="80">
        <f>+'GASTOS GENERALES'!S78</f>
        <v>0</v>
      </c>
      <c r="S48" s="80">
        <f>+'GASTOS GENERALES'!T78</f>
        <v>12950000</v>
      </c>
      <c r="T48" s="2">
        <f>+'GASTOS GENERALES'!U78</f>
        <v>42957</v>
      </c>
      <c r="U48" s="4">
        <f>+'GASTOS GENERALES'!V78</f>
        <v>107</v>
      </c>
      <c r="V48" s="4" t="str">
        <f>+'GASTOS GENERALES'!W78</f>
        <v>COMPENSAR</v>
      </c>
    </row>
    <row r="49" spans="1:22" x14ac:dyDescent="0.25">
      <c r="A49" s="1" t="s">
        <v>294</v>
      </c>
      <c r="B49" s="4" t="s">
        <v>299</v>
      </c>
      <c r="C49" s="4">
        <f>+'GASTOS GENERALES'!C80</f>
        <v>35</v>
      </c>
      <c r="D49" s="4">
        <f>+'GASTOS GENERALES'!D80</f>
        <v>0</v>
      </c>
      <c r="E49" s="4" t="str">
        <f>+'GASTOS GENERALES'!E80</f>
        <v>Adquisición de bonos de bienestar para los funcionarios del IDEP para ser utilizados en víveres y/o alimentos</v>
      </c>
      <c r="F49" s="4">
        <f>+'GASTOS GENERALES'!F80</f>
        <v>93141506</v>
      </c>
      <c r="G49" s="4" t="str">
        <f>+'GASTOS GENERALES'!G80</f>
        <v>Profesional Especializado 222-03 
Área de Talento Humano</v>
      </c>
      <c r="H49" s="4" t="str">
        <f>+'GASTOS GENERALES'!H80</f>
        <v>Subdirección Administrativa financiera</v>
      </c>
      <c r="I49" s="4" t="str">
        <f>+'GASTOS GENERALES'!J80</f>
        <v>Noviembre</v>
      </c>
      <c r="J49" s="4">
        <f>+'GASTOS GENERALES'!K80</f>
        <v>1</v>
      </c>
      <c r="K49" s="4" t="str">
        <f>+'GASTOS GENERALES'!L80</f>
        <v>MINIMA CUANTÍA</v>
      </c>
      <c r="L49" s="4" t="str">
        <f>+'GASTOS GENERALES'!M80</f>
        <v>Minima Cuantia</v>
      </c>
      <c r="M49" s="80">
        <f>+'GASTOS GENERALES'!N80</f>
        <v>0</v>
      </c>
      <c r="N49" s="80">
        <f>+'GASTOS GENERALES'!O80</f>
        <v>0</v>
      </c>
      <c r="O49" s="80">
        <f>+'GASTOS GENERALES'!P80</f>
        <v>0</v>
      </c>
      <c r="P49" s="4">
        <f>+'GASTOS GENERALES'!Q80</f>
        <v>0</v>
      </c>
      <c r="Q49" s="80">
        <f>+'GASTOS GENERALES'!R80</f>
        <v>0</v>
      </c>
      <c r="R49" s="80">
        <f>+'GASTOS GENERALES'!S80</f>
        <v>0</v>
      </c>
      <c r="S49" s="80">
        <f>+'GASTOS GENERALES'!T80</f>
        <v>0</v>
      </c>
      <c r="T49" s="2">
        <f>+'GASTOS GENERALES'!U80</f>
        <v>0</v>
      </c>
      <c r="U49" s="4">
        <f>+'GASTOS GENERALES'!V80</f>
        <v>0</v>
      </c>
      <c r="V49" s="4">
        <f>+'GASTOS GENERALES'!W80</f>
        <v>0</v>
      </c>
    </row>
    <row r="50" spans="1:22" x14ac:dyDescent="0.25">
      <c r="A50" s="1" t="s">
        <v>294</v>
      </c>
      <c r="B50" s="4" t="s">
        <v>299</v>
      </c>
      <c r="C50" s="4">
        <f>+'GASTOS GENERALES'!C81</f>
        <v>36</v>
      </c>
      <c r="D50" s="4">
        <f>+'GASTOS GENERALES'!D81</f>
        <v>0</v>
      </c>
      <c r="E50" s="4" t="str">
        <f>+'GASTOS GENERALES'!E81</f>
        <v>Adquisición de bonos de navidad para los hijos de los funcionarios del IDEP en edades comprendidas entre los cero (0) a trece (13) años para ser utilizados en juguetería y/o ropa infantil</v>
      </c>
      <c r="F50" s="4">
        <f>+'GASTOS GENERALES'!F81</f>
        <v>93141506</v>
      </c>
      <c r="G50" s="4" t="str">
        <f>+'GASTOS GENERALES'!G81</f>
        <v>Profesional Especializado 222-03 
Área de Talento Humano</v>
      </c>
      <c r="H50" s="4" t="str">
        <f>+'GASTOS GENERALES'!H81</f>
        <v>Profesional Especializado 222-03 
Área de Talento Humano</v>
      </c>
      <c r="I50" s="4" t="str">
        <f>+'GASTOS GENERALES'!J81</f>
        <v>Noviembre</v>
      </c>
      <c r="J50" s="4">
        <f>+'GASTOS GENERALES'!K81</f>
        <v>1</v>
      </c>
      <c r="K50" s="4" t="str">
        <f>+'GASTOS GENERALES'!L81</f>
        <v>MINIMA CUANTÍA</v>
      </c>
      <c r="L50" s="4" t="str">
        <f>+'GASTOS GENERALES'!M81</f>
        <v>Minima Cuantia</v>
      </c>
      <c r="M50" s="80">
        <f>+'GASTOS GENERALES'!N81</f>
        <v>0</v>
      </c>
      <c r="N50" s="80">
        <f>+'GASTOS GENERALES'!O81</f>
        <v>0</v>
      </c>
      <c r="O50" s="80">
        <f>+'GASTOS GENERALES'!P81</f>
        <v>0</v>
      </c>
      <c r="P50" s="4">
        <f>+'GASTOS GENERALES'!Q81</f>
        <v>0</v>
      </c>
      <c r="Q50" s="80">
        <f>+'GASTOS GENERALES'!R81</f>
        <v>0</v>
      </c>
      <c r="R50" s="80">
        <f>+'GASTOS GENERALES'!S81</f>
        <v>0</v>
      </c>
      <c r="S50" s="80">
        <f>+'GASTOS GENERALES'!T81</f>
        <v>0</v>
      </c>
      <c r="T50" s="2">
        <f>+'GASTOS GENERALES'!U81</f>
        <v>0</v>
      </c>
      <c r="U50" s="4">
        <f>+'GASTOS GENERALES'!V81</f>
        <v>0</v>
      </c>
      <c r="V50" s="4">
        <f>+'GASTOS GENERALES'!W81</f>
        <v>0</v>
      </c>
    </row>
    <row r="51" spans="1:22" x14ac:dyDescent="0.25">
      <c r="A51" s="1" t="s">
        <v>294</v>
      </c>
      <c r="B51" s="4" t="s">
        <v>299</v>
      </c>
      <c r="C51" s="4">
        <f>+'GASTOS GENERALES'!C83</f>
        <v>37</v>
      </c>
      <c r="D51" s="4">
        <f>+'GASTOS GENERALES'!D83</f>
        <v>0</v>
      </c>
      <c r="E51" s="4" t="str">
        <f>+'GASTOS GENERALES'!E83</f>
        <v>Incentivos no pecuniarios</v>
      </c>
      <c r="F51" s="4" t="str">
        <f>+'GASTOS GENERALES'!F83</f>
        <v>NO APLICA</v>
      </c>
      <c r="G51" s="4" t="str">
        <f>+'GASTOS GENERALES'!G83</f>
        <v>Profesional Especializado 222-03 
Área de Talento Humano</v>
      </c>
      <c r="H51" s="4" t="str">
        <f>+'GASTOS GENERALES'!H83</f>
        <v>Subdirección Administrativa financiera</v>
      </c>
      <c r="I51" s="4" t="str">
        <f>+'GASTOS GENERALES'!J83</f>
        <v>Junio</v>
      </c>
      <c r="J51" s="4">
        <f>+'GASTOS GENERALES'!K83</f>
        <v>1</v>
      </c>
      <c r="K51" s="4" t="str">
        <f>+'GASTOS GENERALES'!L83</f>
        <v>NA</v>
      </c>
      <c r="L51" s="4" t="str">
        <f>+'GASTOS GENERALES'!M83</f>
        <v>Gastos
 Directos</v>
      </c>
      <c r="M51" s="80">
        <f>+'GASTOS GENERALES'!N83</f>
        <v>4500000</v>
      </c>
      <c r="N51" s="80">
        <f>+'GASTOS GENERALES'!O83</f>
        <v>0</v>
      </c>
      <c r="O51" s="80">
        <f>+'GASTOS GENERALES'!P83</f>
        <v>4500000</v>
      </c>
      <c r="P51" s="4">
        <f>+'GASTOS GENERALES'!Q83</f>
        <v>0</v>
      </c>
      <c r="Q51" s="80">
        <f>+'GASTOS GENERALES'!R83</f>
        <v>4500000</v>
      </c>
      <c r="R51" s="80">
        <f>+'GASTOS GENERALES'!S83</f>
        <v>0</v>
      </c>
      <c r="S51" s="80">
        <f>+'GASTOS GENERALES'!T83</f>
        <v>4500000</v>
      </c>
      <c r="T51" s="2">
        <f>+'GASTOS GENERALES'!U83</f>
        <v>42962</v>
      </c>
      <c r="U51" s="4" t="str">
        <f>+'GASTOS GENERALES'!V83</f>
        <v>PAGOS DIRECTOS</v>
      </c>
      <c r="V51" s="4">
        <f>+'GASTOS GENERALES'!W83</f>
        <v>0</v>
      </c>
    </row>
    <row r="52" spans="1:22" x14ac:dyDescent="0.25">
      <c r="A52" s="1" t="s">
        <v>294</v>
      </c>
      <c r="B52" s="4" t="s">
        <v>299</v>
      </c>
      <c r="C52" s="4">
        <f>+'GASTOS GENERALES'!C84</f>
        <v>271</v>
      </c>
      <c r="D52" s="4">
        <f>+'GASTOS GENERALES'!D84</f>
        <v>40</v>
      </c>
      <c r="E52" s="4" t="str">
        <f>+'GASTOS GENERALES'!E84</f>
        <v>Servicio de apoyo logístico para la realización de actividades recreativas para los hijos de los funcionarios las cuales tienen como fin contribuir al fortalecimiento de los procesos motivacionales, actitudinales y comportamentales de los servidores públicos.</v>
      </c>
      <c r="F52" s="4">
        <f>+'GASTOS GENERALES'!F84</f>
        <v>93141506</v>
      </c>
      <c r="G52" s="4" t="str">
        <f>+'GASTOS GENERALES'!G84</f>
        <v>Profesional Especializado 222-03 
Área de Talento Humano</v>
      </c>
      <c r="H52" s="4" t="str">
        <f>+'GASTOS GENERALES'!H84</f>
        <v>Subdirección Administrativa financiera</v>
      </c>
      <c r="I52" s="4" t="str">
        <f>+'GASTOS GENERALES'!J84</f>
        <v>junio</v>
      </c>
      <c r="J52" s="4">
        <f>+'GASTOS GENERALES'!K84</f>
        <v>1</v>
      </c>
      <c r="K52" s="4" t="str">
        <f>+'GASTOS GENERALES'!L84</f>
        <v>DIRECTA</v>
      </c>
      <c r="L52" s="4" t="str">
        <f>+'GASTOS GENERALES'!M84</f>
        <v>Contratación
 Directa</v>
      </c>
      <c r="M52" s="80">
        <f>+'GASTOS GENERALES'!N84</f>
        <v>7500000</v>
      </c>
      <c r="N52" s="80">
        <f>+'GASTOS GENERALES'!O84</f>
        <v>0</v>
      </c>
      <c r="O52" s="80">
        <f>+'GASTOS GENERALES'!P84</f>
        <v>7500000</v>
      </c>
      <c r="P52" s="4">
        <f>+'GASTOS GENERALES'!Q84</f>
        <v>1</v>
      </c>
      <c r="Q52" s="80">
        <f>+'GASTOS GENERALES'!R84</f>
        <v>7500000</v>
      </c>
      <c r="R52" s="80">
        <f>+'GASTOS GENERALES'!S84</f>
        <v>0</v>
      </c>
      <c r="S52" s="80">
        <f>+'GASTOS GENERALES'!T84</f>
        <v>7500000</v>
      </c>
      <c r="T52" s="2">
        <f>+'GASTOS GENERALES'!U84</f>
        <v>42891</v>
      </c>
      <c r="U52" s="4">
        <f>+'GASTOS GENERALES'!V84</f>
        <v>91</v>
      </c>
      <c r="V52" s="4" t="str">
        <f>+'GASTOS GENERALES'!W84</f>
        <v>COMPENSAR</v>
      </c>
    </row>
    <row r="53" spans="1:22" x14ac:dyDescent="0.25">
      <c r="A53" s="1" t="s">
        <v>294</v>
      </c>
      <c r="B53" s="4" t="s">
        <v>300</v>
      </c>
      <c r="C53" s="4">
        <f>+'GASTOS GENERALES'!C86</f>
        <v>283</v>
      </c>
      <c r="D53" s="4">
        <f>+'GASTOS GENERALES'!D86</f>
        <v>41</v>
      </c>
      <c r="E53" s="4" t="str">
        <f>+'GASTOS GENERALES'!E86</f>
        <v>Prestación de servicios para realizar los exámenes médico ocupacionales para los servidores del IDEP.</v>
      </c>
      <c r="F53" s="4">
        <f>+'GASTOS GENERALES'!F86</f>
        <v>93141808</v>
      </c>
      <c r="G53" s="4" t="str">
        <f>+'GASTOS GENERALES'!G86</f>
        <v>Profesional Especializado 222-03 
Área de Talento Humano</v>
      </c>
      <c r="H53" s="4" t="str">
        <f>+'GASTOS GENERALES'!H86</f>
        <v>Subdirección Administrativa financiera</v>
      </c>
      <c r="I53" s="4" t="str">
        <f>+'GASTOS GENERALES'!J86</f>
        <v>Junio</v>
      </c>
      <c r="J53" s="4">
        <f>+'GASTOS GENERALES'!K86</f>
        <v>2</v>
      </c>
      <c r="K53" s="4" t="str">
        <f>+'GASTOS GENERALES'!L86</f>
        <v>Mínima Cuantía</v>
      </c>
      <c r="L53" s="4" t="str">
        <f>+'GASTOS GENERALES'!M86</f>
        <v>Minima Cuantia</v>
      </c>
      <c r="M53" s="80">
        <f>+'GASTOS GENERALES'!N86</f>
        <v>3219000</v>
      </c>
      <c r="N53" s="80">
        <f>+'GASTOS GENERALES'!O86</f>
        <v>0</v>
      </c>
      <c r="O53" s="80">
        <f>+'GASTOS GENERALES'!P86</f>
        <v>3219000</v>
      </c>
      <c r="P53" s="4">
        <f>+'GASTOS GENERALES'!Q86</f>
        <v>1</v>
      </c>
      <c r="Q53" s="80">
        <f>+'GASTOS GENERALES'!R86</f>
        <v>3219000</v>
      </c>
      <c r="R53" s="80">
        <f>+'GASTOS GENERALES'!S86</f>
        <v>0</v>
      </c>
      <c r="S53" s="80">
        <f>+'GASTOS GENERALES'!T86</f>
        <v>3219000</v>
      </c>
      <c r="T53" s="2">
        <f>+'GASTOS GENERALES'!U86</f>
        <v>42921</v>
      </c>
      <c r="U53" s="4">
        <f>+'GASTOS GENERALES'!V86</f>
        <v>97</v>
      </c>
      <c r="V53" s="4" t="str">
        <f>+'GASTOS GENERALES'!W86</f>
        <v>Servicios de eventos y ventas con tecnología S.A.S</v>
      </c>
    </row>
    <row r="54" spans="1:22" ht="32.25" customHeight="1" x14ac:dyDescent="0.25">
      <c r="A54" s="4" t="s">
        <v>301</v>
      </c>
      <c r="B54" s="4" t="str">
        <f>+'GASTOS GENERALES'!B90</f>
        <v>Impuestos, tasas, contribuciones, derechos y multas</v>
      </c>
      <c r="C54" s="4">
        <f>+'GASTOS GENERALES'!C90</f>
        <v>4</v>
      </c>
      <c r="D54" s="4">
        <f>+'GASTOS GENERALES'!D90</f>
        <v>0</v>
      </c>
      <c r="E54" s="4" t="str">
        <f>+'GASTOS GENERALES'!E90</f>
        <v>Cancelación de impuestos, tasas, contribuciones, derechos y multas</v>
      </c>
      <c r="F54" s="4" t="str">
        <f>+'GASTOS GENERALES'!F90</f>
        <v>NO APLICA</v>
      </c>
      <c r="G54" s="4" t="str">
        <f>+'GASTOS GENERALES'!G90</f>
        <v>Profesional Especializado 222-04</v>
      </c>
      <c r="H54" s="4" t="str">
        <f>+'GASTOS GENERALES'!H90</f>
        <v>Subdirección Administrativa financiera</v>
      </c>
      <c r="I54" s="4" t="str">
        <f>+'GASTOS GENERALES'!J90</f>
        <v>junio</v>
      </c>
      <c r="J54" s="4">
        <f>+'GASTOS GENERALES'!K90</f>
        <v>12</v>
      </c>
      <c r="K54" s="4" t="str">
        <f>+'GASTOS GENERALES'!L90</f>
        <v>NA</v>
      </c>
      <c r="L54" s="4" t="str">
        <f>+'GASTOS GENERALES'!M90</f>
        <v>Gastos
 Directos</v>
      </c>
      <c r="M54" s="80">
        <f>+'GASTOS GENERALES'!N90</f>
        <v>426000</v>
      </c>
      <c r="N54" s="80">
        <f>+'GASTOS GENERALES'!O90</f>
        <v>0</v>
      </c>
      <c r="O54" s="80">
        <f>+'GASTOS GENERALES'!P90</f>
        <v>426000</v>
      </c>
      <c r="P54" s="4">
        <f>+'GASTOS GENERALES'!Q90</f>
        <v>0</v>
      </c>
      <c r="Q54" s="80">
        <f>+'GASTOS GENERALES'!R90</f>
        <v>98000</v>
      </c>
      <c r="R54" s="80">
        <f>+'GASTOS GENERALES'!S90</f>
        <v>0</v>
      </c>
      <c r="S54" s="80">
        <f>+'GASTOS GENERALES'!T90</f>
        <v>98000</v>
      </c>
      <c r="T54" s="2">
        <f>+'GASTOS GENERALES'!U90</f>
        <v>0</v>
      </c>
      <c r="U54" s="4">
        <f>+'GASTOS GENERALES'!V90</f>
        <v>0</v>
      </c>
      <c r="V54" s="4">
        <f>+'GASTOS GENERALES'!W90</f>
        <v>0</v>
      </c>
    </row>
    <row r="55" spans="1:22" ht="31.5" customHeight="1" x14ac:dyDescent="0.25">
      <c r="F55" s="1041" t="s">
        <v>443</v>
      </c>
      <c r="G55" s="1041"/>
      <c r="H55" s="1041"/>
      <c r="I55" s="1041"/>
      <c r="J55" s="1041"/>
      <c r="K55" s="1041"/>
      <c r="L55" s="1041"/>
      <c r="M55" s="120" t="e">
        <f>SUM(M2:M54)</f>
        <v>#REF!</v>
      </c>
      <c r="N55" s="120" t="e">
        <f>SUM(N2:N54)</f>
        <v>#REF!</v>
      </c>
      <c r="O55" s="120" t="e">
        <f>SUM(O2:O54)</f>
        <v>#REF!</v>
      </c>
      <c r="P55" s="120" t="e">
        <f t="shared" ref="P55:S55" si="0">SUM(P2:P54)</f>
        <v>#REF!</v>
      </c>
      <c r="Q55" s="120" t="e">
        <f t="shared" si="0"/>
        <v>#REF!</v>
      </c>
      <c r="R55" s="120" t="e">
        <f t="shared" si="0"/>
        <v>#REF!</v>
      </c>
      <c r="S55" s="120" t="e">
        <f t="shared" si="0"/>
        <v>#REF!</v>
      </c>
      <c r="T55" s="4"/>
      <c r="U55" s="4"/>
      <c r="V55" s="4"/>
    </row>
    <row r="57" spans="1:22" x14ac:dyDescent="0.25">
      <c r="O57" s="70"/>
    </row>
    <row r="58" spans="1:22" x14ac:dyDescent="0.25">
      <c r="O58" s="5">
        <f>+'GASTOS GENERALES'!P93</f>
        <v>849500000</v>
      </c>
      <c r="P58" s="5">
        <f>+'GASTOS GENERALES'!Q93</f>
        <v>0</v>
      </c>
      <c r="Q58" s="5">
        <f>+'GASTOS GENERALES'!R93</f>
        <v>791006233</v>
      </c>
      <c r="R58" s="5">
        <f>+'GASTOS GENERALES'!S93</f>
        <v>0</v>
      </c>
      <c r="S58" s="5">
        <f>+'GASTOS GENERALES'!T93</f>
        <v>791006233</v>
      </c>
    </row>
    <row r="59" spans="1:22" x14ac:dyDescent="0.25">
      <c r="M59" s="122"/>
    </row>
    <row r="60" spans="1:22" x14ac:dyDescent="0.25">
      <c r="O60" s="124" t="e">
        <f>+O58-O55</f>
        <v>#REF!</v>
      </c>
      <c r="P60" s="124"/>
      <c r="Q60" s="124"/>
      <c r="R60" s="124"/>
      <c r="S60" s="124"/>
    </row>
  </sheetData>
  <autoFilter ref="A1:V55"/>
  <mergeCells count="1">
    <mergeCell ref="F55:L5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S116"/>
  <sheetViews>
    <sheetView zoomScale="89" zoomScaleNormal="89" workbookViewId="0">
      <selection activeCell="A2" sqref="A2"/>
    </sheetView>
  </sheetViews>
  <sheetFormatPr baseColWidth="10" defaultColWidth="24.140625" defaultRowHeight="11.25" x14ac:dyDescent="0.25"/>
  <cols>
    <col min="1" max="6" width="24.140625" style="96"/>
    <col min="7" max="7" width="12" style="96" customWidth="1"/>
    <col min="8" max="8" width="24.140625" style="96" hidden="1" customWidth="1"/>
    <col min="9" max="9" width="24.140625" style="96"/>
    <col min="10" max="10" width="9.85546875" style="96" customWidth="1"/>
    <col min="11" max="11" width="14.28515625" style="96" customWidth="1"/>
    <col min="12" max="12" width="8.140625" style="96" customWidth="1"/>
    <col min="13" max="13" width="8.85546875" style="96" customWidth="1"/>
    <col min="14" max="14" width="8.28515625" style="96" customWidth="1"/>
    <col min="15" max="15" width="10.85546875" style="96" hidden="1" customWidth="1"/>
    <col min="16" max="16" width="12.7109375" style="96" customWidth="1"/>
    <col min="17" max="17" width="16" style="96" customWidth="1"/>
    <col min="18" max="18" width="18.140625" style="96" customWidth="1"/>
    <col min="19" max="19" width="15" style="96" customWidth="1"/>
    <col min="20" max="20" width="13.7109375" style="96" customWidth="1"/>
    <col min="21" max="21" width="15.140625" style="96" customWidth="1"/>
    <col min="22" max="22" width="13.85546875" style="96" customWidth="1"/>
    <col min="23" max="23" width="14.7109375" style="96" customWidth="1"/>
    <col min="24" max="24" width="14.42578125" style="96" customWidth="1"/>
    <col min="25" max="25" width="10" style="96" customWidth="1"/>
    <col min="26" max="26" width="54.5703125" style="96" customWidth="1"/>
    <col min="27" max="16384" width="24.140625" style="96"/>
  </cols>
  <sheetData>
    <row r="2" spans="1:31" ht="33.75" x14ac:dyDescent="0.25">
      <c r="A2" s="110" t="s">
        <v>155</v>
      </c>
      <c r="B2" s="110" t="s">
        <v>156</v>
      </c>
      <c r="C2" s="110" t="s">
        <v>157</v>
      </c>
      <c r="D2" s="110" t="s">
        <v>158</v>
      </c>
      <c r="E2" s="110" t="s">
        <v>159</v>
      </c>
      <c r="F2" s="111" t="s">
        <v>25</v>
      </c>
      <c r="G2" s="111" t="s">
        <v>183</v>
      </c>
      <c r="H2" s="111" t="s">
        <v>289</v>
      </c>
      <c r="I2" s="111" t="s">
        <v>6</v>
      </c>
      <c r="J2" s="111" t="s">
        <v>7</v>
      </c>
      <c r="K2" s="111" t="s">
        <v>8</v>
      </c>
      <c r="L2" s="111" t="s">
        <v>250</v>
      </c>
      <c r="M2" s="111" t="s">
        <v>10</v>
      </c>
      <c r="N2" s="111" t="s">
        <v>11</v>
      </c>
      <c r="O2" s="111" t="s">
        <v>12</v>
      </c>
      <c r="P2" s="111" t="s">
        <v>217</v>
      </c>
      <c r="Q2" s="112" t="s">
        <v>1</v>
      </c>
      <c r="R2" s="113" t="s">
        <v>2</v>
      </c>
      <c r="S2" s="114" t="s">
        <v>3</v>
      </c>
      <c r="T2" s="115" t="s">
        <v>249</v>
      </c>
      <c r="U2" s="74" t="s">
        <v>246</v>
      </c>
      <c r="V2" s="74" t="s">
        <v>247</v>
      </c>
      <c r="W2" s="74" t="s">
        <v>248</v>
      </c>
      <c r="X2" s="74" t="s">
        <v>222</v>
      </c>
      <c r="Y2" s="116" t="s">
        <v>223</v>
      </c>
      <c r="Z2" s="116" t="s">
        <v>224</v>
      </c>
    </row>
    <row r="3" spans="1:31" ht="82.5" customHeight="1" x14ac:dyDescent="0.25">
      <c r="A3" s="59" t="s">
        <v>163</v>
      </c>
      <c r="B3" s="59" t="s">
        <v>147</v>
      </c>
      <c r="C3" s="59" t="s">
        <v>132</v>
      </c>
      <c r="D3" s="59" t="s">
        <v>245</v>
      </c>
      <c r="E3" s="59" t="s">
        <v>244</v>
      </c>
      <c r="F3" s="97" t="str">
        <f>+'Plan de Adquisiciones '!F16</f>
        <v>Diseño del Sistema de seguimiento a la política educativa distrital en los contextos escolares - Fase 2.</v>
      </c>
      <c r="G3" s="98">
        <f>+'Plan de Adquisiciones '!G16</f>
        <v>164</v>
      </c>
      <c r="H3" s="97">
        <f>+'Plan de Adquisiciones '!H16</f>
        <v>50</v>
      </c>
      <c r="I3" s="97" t="str">
        <f>+'Plan de Adquisiciones '!I16</f>
        <v>Prestación de servicios profesionales para  realizar la  consolidación de referentes conceptuales del Sistema de Seguimiento a la política educativa distrital en los contextos escolares, Fase 2</v>
      </c>
      <c r="J3" s="97">
        <f>+'Plan de Adquisiciones '!J16</f>
        <v>80111621</v>
      </c>
      <c r="K3" s="97" t="str">
        <f>+'Plan de Adquisiciones '!K16</f>
        <v>Profesional 222-07</v>
      </c>
      <c r="L3" s="97" t="str">
        <f>+'Plan de Adquisiciones '!L16</f>
        <v>Jorge Palacio</v>
      </c>
      <c r="M3" s="97" t="str">
        <f>+'Plan de Adquisiciones '!N16</f>
        <v>Febrero</v>
      </c>
      <c r="N3" s="98">
        <f>+'Plan de Adquisiciones '!O16</f>
        <v>9</v>
      </c>
      <c r="O3" s="97" t="str">
        <f>+'Plan de Adquisiciones '!P16</f>
        <v xml:space="preserve"> Contratación Directa</v>
      </c>
      <c r="P3" s="97" t="str">
        <f>+'Plan de Adquisiciones '!Q16</f>
        <v>Directa</v>
      </c>
      <c r="Q3" s="107">
        <f>+'Plan de Adquisiciones '!R16</f>
        <v>73033983</v>
      </c>
      <c r="R3" s="107">
        <f>+'Plan de Adquisiciones '!S16</f>
        <v>0</v>
      </c>
      <c r="S3" s="107">
        <f>+'Plan de Adquisiciones '!T16</f>
        <v>73033983</v>
      </c>
      <c r="T3" s="98">
        <f>+'Plan de Adquisiciones '!U16</f>
        <v>1</v>
      </c>
      <c r="U3" s="107">
        <f>+'Plan de Adquisiciones '!V16</f>
        <v>73033983</v>
      </c>
      <c r="V3" s="107">
        <f>+'Plan de Adquisiciones '!W16</f>
        <v>0</v>
      </c>
      <c r="W3" s="107">
        <f>+'Plan de Adquisiciones '!X16</f>
        <v>73033983</v>
      </c>
      <c r="X3" s="106">
        <f>+'Plan de Adquisiciones '!Y16</f>
        <v>42794</v>
      </c>
      <c r="Y3" s="97">
        <f>+'Plan de Adquisiciones '!Z16</f>
        <v>18</v>
      </c>
      <c r="Z3" s="108" t="str">
        <f>+'Plan de Adquisiciones '!AA16</f>
        <v>OMAR PULIDO CHAVES</v>
      </c>
    </row>
    <row r="4" spans="1:31" ht="90" x14ac:dyDescent="0.25">
      <c r="A4" s="59" t="s">
        <v>163</v>
      </c>
      <c r="B4" s="59" t="s">
        <v>147</v>
      </c>
      <c r="C4" s="59" t="s">
        <v>132</v>
      </c>
      <c r="D4" s="59" t="s">
        <v>245</v>
      </c>
      <c r="E4" s="59" t="s">
        <v>244</v>
      </c>
      <c r="F4" s="97">
        <f>+'Plan de Adquisiciones '!F17</f>
        <v>0</v>
      </c>
      <c r="G4" s="98">
        <f>+'Plan de Adquisiciones '!G17</f>
        <v>165</v>
      </c>
      <c r="H4" s="97">
        <f>+'Plan de Adquisiciones '!H17</f>
        <v>51</v>
      </c>
      <c r="I4" s="97" t="str">
        <f>+'Plan de Adquisiciones '!I17</f>
        <v>Prestación de servicios profesionales para  realizar la  consolidación de referentes metodológicos, técnicos e instrumentales del Sistema de Seguimiento a la política educativa distrital en los contextos escolares, Fase 2</v>
      </c>
      <c r="J4" s="97">
        <f>+'Plan de Adquisiciones '!J17</f>
        <v>80111621</v>
      </c>
      <c r="K4" s="97" t="str">
        <f>+'Plan de Adquisiciones '!K17</f>
        <v>Profesional 222-07</v>
      </c>
      <c r="L4" s="97" t="str">
        <f>+'Plan de Adquisiciones '!L17</f>
        <v>Jorge Palacio</v>
      </c>
      <c r="M4" s="97" t="str">
        <f>+'Plan de Adquisiciones '!N17</f>
        <v>Febrero</v>
      </c>
      <c r="N4" s="98">
        <f>+'Plan de Adquisiciones '!O17</f>
        <v>9</v>
      </c>
      <c r="O4" s="97" t="str">
        <f>+'Plan de Adquisiciones '!P17</f>
        <v xml:space="preserve"> Contratación Directa</v>
      </c>
      <c r="P4" s="97" t="str">
        <f>+'Plan de Adquisiciones '!Q17</f>
        <v>Directa</v>
      </c>
      <c r="Q4" s="107">
        <f>+'Plan de Adquisiciones '!R17</f>
        <v>66394530</v>
      </c>
      <c r="R4" s="107">
        <f>+'Plan de Adquisiciones '!S17</f>
        <v>0</v>
      </c>
      <c r="S4" s="107">
        <f>+'Plan de Adquisiciones '!T17</f>
        <v>66394530</v>
      </c>
      <c r="T4" s="98">
        <f>+'Plan de Adquisiciones '!U17</f>
        <v>1</v>
      </c>
      <c r="U4" s="107">
        <f>+'Plan de Adquisiciones '!V17</f>
        <v>66394530</v>
      </c>
      <c r="V4" s="107">
        <f>+'Plan de Adquisiciones '!W17</f>
        <v>0</v>
      </c>
      <c r="W4" s="107">
        <f>+'Plan de Adquisiciones '!X17</f>
        <v>66394530</v>
      </c>
      <c r="X4" s="106">
        <f>+'Plan de Adquisiciones '!Y17</f>
        <v>42794</v>
      </c>
      <c r="Y4" s="97">
        <f>+'Plan de Adquisiciones '!Z17</f>
        <v>19</v>
      </c>
      <c r="Z4" s="108" t="str">
        <f>+'Plan de Adquisiciones '!AA17</f>
        <v>GABRIEL TORRES VARGAS</v>
      </c>
    </row>
    <row r="5" spans="1:31" ht="123.75" x14ac:dyDescent="0.25">
      <c r="A5" s="59" t="s">
        <v>163</v>
      </c>
      <c r="B5" s="59" t="s">
        <v>147</v>
      </c>
      <c r="C5" s="59" t="s">
        <v>132</v>
      </c>
      <c r="D5" s="59" t="s">
        <v>245</v>
      </c>
      <c r="E5" s="59" t="s">
        <v>244</v>
      </c>
      <c r="F5" s="97">
        <f>+'Plan de Adquisiciones '!F18</f>
        <v>0</v>
      </c>
      <c r="G5" s="98">
        <f>+'Plan de Adquisiciones '!G18</f>
        <v>204</v>
      </c>
      <c r="H5" s="97">
        <f>+'Plan de Adquisiciones '!H18</f>
        <v>52</v>
      </c>
      <c r="I5" s="97" t="str">
        <f>+'Plan de Adquisiciones '!I18</f>
        <v>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v>
      </c>
      <c r="J5" s="97" t="str">
        <f>+'Plan de Adquisiciones '!J18</f>
        <v>80111601;82111902;82111901</v>
      </c>
      <c r="K5" s="97" t="str">
        <f>+'Plan de Adquisiciones '!K18</f>
        <v>Subdirector Académico</v>
      </c>
      <c r="L5" s="97" t="str">
        <f>+'Plan de Adquisiciones '!L18</f>
        <v>Juliana Gutiérrez</v>
      </c>
      <c r="M5" s="97" t="str">
        <f>+'Plan de Adquisiciones '!N18</f>
        <v>Abril</v>
      </c>
      <c r="N5" s="98">
        <f>+'Plan de Adquisiciones '!O18</f>
        <v>8</v>
      </c>
      <c r="O5" s="97" t="str">
        <f>+'Plan de Adquisiciones '!P18</f>
        <v xml:space="preserve"> Contratación Directa</v>
      </c>
      <c r="P5" s="97" t="str">
        <f>+'Plan de Adquisiciones '!Q18</f>
        <v>Directa</v>
      </c>
      <c r="Q5" s="107">
        <f>+'Plan de Adquisiciones '!R18</f>
        <v>47113721</v>
      </c>
      <c r="R5" s="107">
        <f>+'Plan de Adquisiciones '!S18</f>
        <v>0</v>
      </c>
      <c r="S5" s="107">
        <f>+'Plan de Adquisiciones '!T18</f>
        <v>47113721</v>
      </c>
      <c r="T5" s="98">
        <f>+'Plan de Adquisiciones '!U18</f>
        <v>1</v>
      </c>
      <c r="U5" s="107">
        <f>+'Plan de Adquisiciones '!V18</f>
        <v>47113721</v>
      </c>
      <c r="V5" s="107">
        <f>+'Plan de Adquisiciones '!W18</f>
        <v>0</v>
      </c>
      <c r="W5" s="107">
        <f>+'Plan de Adquisiciones '!X18</f>
        <v>47113721</v>
      </c>
      <c r="X5" s="106">
        <f>+'Plan de Adquisiciones '!Y18</f>
        <v>42843</v>
      </c>
      <c r="Y5" s="97">
        <f>+'Plan de Adquisiciones '!Z18</f>
        <v>45</v>
      </c>
      <c r="Z5" s="108" t="str">
        <f>+'Plan de Adquisiciones '!AA18</f>
        <v>CAJA DE COMPENSACIÓN FAMILIAR COMPENSAR</v>
      </c>
    </row>
    <row r="6" spans="1:31" ht="90" x14ac:dyDescent="0.25">
      <c r="A6" s="59" t="s">
        <v>163</v>
      </c>
      <c r="B6" s="59" t="s">
        <v>147</v>
      </c>
      <c r="C6" s="59" t="s">
        <v>132</v>
      </c>
      <c r="D6" s="59" t="s">
        <v>245</v>
      </c>
      <c r="E6" s="59" t="s">
        <v>244</v>
      </c>
      <c r="F6" s="97">
        <f>+'Plan de Adquisiciones '!F19</f>
        <v>0</v>
      </c>
      <c r="G6" s="98">
        <f>+'Plan de Adquisiciones '!G19</f>
        <v>166</v>
      </c>
      <c r="H6" s="97">
        <f>+'Plan de Adquisiciones '!H19</f>
        <v>54</v>
      </c>
      <c r="I6" s="97" t="str">
        <f>+'Plan de Adquisiciones '!I19</f>
        <v>Prestación de servicios profesionales para implementar la estrategia de comunicación y gestión del conocimiento, en el marco del Diseño del Sistema de Seguimiento a la política educativa distrital en los contextos escolares, Fase 2.</v>
      </c>
      <c r="J6" s="97">
        <f>+'Plan de Adquisiciones '!J19</f>
        <v>80111601</v>
      </c>
      <c r="K6" s="97" t="str">
        <f>+'Plan de Adquisiciones '!K19</f>
        <v>Profesional Especializado 222-07</v>
      </c>
      <c r="L6" s="97" t="str">
        <f>+'Plan de Adquisiciones '!L19</f>
        <v>Jorge Palacio</v>
      </c>
      <c r="M6" s="97" t="str">
        <f>+'Plan de Adquisiciones '!N19</f>
        <v>Abril</v>
      </c>
      <c r="N6" s="98">
        <f>+'Plan de Adquisiciones '!O19</f>
        <v>9</v>
      </c>
      <c r="O6" s="97" t="str">
        <f>+'Plan de Adquisiciones '!P19</f>
        <v xml:space="preserve"> Contratación Directa</v>
      </c>
      <c r="P6" s="97" t="str">
        <f>+'Plan de Adquisiciones '!Q19</f>
        <v>Directa</v>
      </c>
      <c r="Q6" s="107">
        <f>+'Plan de Adquisiciones '!R19</f>
        <v>70329021</v>
      </c>
      <c r="R6" s="107">
        <f>+'Plan de Adquisiciones '!S19</f>
        <v>0</v>
      </c>
      <c r="S6" s="107">
        <f>+'Plan de Adquisiciones '!T19</f>
        <v>70329021</v>
      </c>
      <c r="T6" s="98">
        <f>+'Plan de Adquisiciones '!U19</f>
        <v>1</v>
      </c>
      <c r="U6" s="107">
        <f>+'Plan de Adquisiciones '!V19</f>
        <v>70329021</v>
      </c>
      <c r="V6" s="107">
        <f>+'Plan de Adquisiciones '!W19</f>
        <v>0</v>
      </c>
      <c r="W6" s="107">
        <f>+'Plan de Adquisiciones '!X19</f>
        <v>70329021</v>
      </c>
      <c r="X6" s="106">
        <f>+'Plan de Adquisiciones '!Y19</f>
        <v>42821</v>
      </c>
      <c r="Y6" s="97">
        <f>+'Plan de Adquisiciones '!Z19</f>
        <v>39</v>
      </c>
      <c r="Z6" s="108" t="str">
        <f>+'Plan de Adquisiciones '!AA19</f>
        <v>MIGUEL ANGEL VARGAS HERNANDEZ</v>
      </c>
    </row>
    <row r="7" spans="1:31" ht="78.75" x14ac:dyDescent="0.25">
      <c r="A7" s="59" t="s">
        <v>163</v>
      </c>
      <c r="B7" s="59" t="s">
        <v>147</v>
      </c>
      <c r="C7" s="59" t="s">
        <v>132</v>
      </c>
      <c r="D7" s="59" t="s">
        <v>196</v>
      </c>
      <c r="E7" s="59" t="s">
        <v>195</v>
      </c>
      <c r="F7" s="98" t="str">
        <f>+'Plan de Adquisiciones '!F22</f>
        <v>Estudio Sistema de seguimiento a la política educativa distrital en los contextos escolares -Fase 2</v>
      </c>
      <c r="G7" s="98">
        <f>+'Plan de Adquisiciones '!G22</f>
        <v>125</v>
      </c>
      <c r="H7" s="98">
        <f>+'Plan de Adquisiciones '!H22</f>
        <v>55</v>
      </c>
      <c r="I7" s="98" t="str">
        <f>+'Plan de Adquisiciones '!I22</f>
        <v>Prestación de servicios profesionales  para aplicar la metodología de Evaluación  de impacto a proyectos de investigación del IDEP Fase 2, seleccionados en la vigencia 2016.</v>
      </c>
      <c r="J7" s="98">
        <f>+'Plan de Adquisiciones '!J22</f>
        <v>80111621</v>
      </c>
      <c r="K7" s="98" t="str">
        <f>+'Plan de Adquisiciones '!K22</f>
        <v>Profesional 222-06</v>
      </c>
      <c r="L7" s="98" t="str">
        <f>+'Plan de Adquisiciones '!L22</f>
        <v>Luisa Acuña</v>
      </c>
      <c r="M7" s="98" t="str">
        <f>+'Plan de Adquisiciones '!N22</f>
        <v>Febrero</v>
      </c>
      <c r="N7" s="98">
        <f>+'Plan de Adquisiciones '!O22</f>
        <v>4</v>
      </c>
      <c r="O7" s="98" t="str">
        <f>+'Plan de Adquisiciones '!P22</f>
        <v xml:space="preserve"> Contratación Directa</v>
      </c>
      <c r="P7" s="98" t="str">
        <f>+'Plan de Adquisiciones '!Q22</f>
        <v>Directa</v>
      </c>
      <c r="Q7" s="107">
        <f>+'Plan de Adquisiciones '!R22</f>
        <v>26557812</v>
      </c>
      <c r="R7" s="107">
        <f>+'Plan de Adquisiciones '!S22</f>
        <v>0</v>
      </c>
      <c r="S7" s="107">
        <f>+'Plan de Adquisiciones '!T22</f>
        <v>26557812</v>
      </c>
      <c r="T7" s="98">
        <f>+'Plan de Adquisiciones '!U22</f>
        <v>1</v>
      </c>
      <c r="U7" s="107">
        <f>+'Plan de Adquisiciones '!V22</f>
        <v>26557812</v>
      </c>
      <c r="V7" s="107">
        <f>+'Plan de Adquisiciones '!W22</f>
        <v>0</v>
      </c>
      <c r="W7" s="107">
        <f>+'Plan de Adquisiciones '!X22</f>
        <v>26557812</v>
      </c>
      <c r="X7" s="106">
        <f>+'Plan de Adquisiciones '!Y22</f>
        <v>42793</v>
      </c>
      <c r="Y7" s="98">
        <f>+'Plan de Adquisiciones '!Z22</f>
        <v>8</v>
      </c>
      <c r="Z7" s="108" t="str">
        <f>+'Plan de Adquisiciones '!AA22</f>
        <v>GLADYS AMAYA ROSARIO</v>
      </c>
    </row>
    <row r="8" spans="1:31" ht="56.25" x14ac:dyDescent="0.25">
      <c r="A8" s="59" t="s">
        <v>163</v>
      </c>
      <c r="B8" s="59" t="s">
        <v>147</v>
      </c>
      <c r="C8" s="59" t="s">
        <v>132</v>
      </c>
      <c r="D8" s="59" t="s">
        <v>196</v>
      </c>
      <c r="E8" s="59" t="s">
        <v>195</v>
      </c>
      <c r="F8" s="98" t="e">
        <f>+'Plan de Adquisiciones '!#REF!</f>
        <v>#REF!</v>
      </c>
      <c r="G8" s="98" t="e">
        <f>+'Plan de Adquisiciones '!#REF!</f>
        <v>#REF!</v>
      </c>
      <c r="H8" s="98" t="e">
        <f>+'Plan de Adquisiciones '!#REF!</f>
        <v>#REF!</v>
      </c>
      <c r="I8" s="98" t="e">
        <f>+'Plan de Adquisiciones '!#REF!</f>
        <v>#REF!</v>
      </c>
      <c r="J8" s="98" t="e">
        <f>+'Plan de Adquisiciones '!#REF!</f>
        <v>#REF!</v>
      </c>
      <c r="K8" s="98" t="e">
        <f>+'Plan de Adquisiciones '!#REF!</f>
        <v>#REF!</v>
      </c>
      <c r="L8" s="98" t="e">
        <f>+'Plan de Adquisiciones '!#REF!</f>
        <v>#REF!</v>
      </c>
      <c r="M8" s="98" t="e">
        <f>+'Plan de Adquisiciones '!#REF!</f>
        <v>#REF!</v>
      </c>
      <c r="N8" s="98" t="e">
        <f>+'Plan de Adquisiciones '!#REF!</f>
        <v>#REF!</v>
      </c>
      <c r="O8" s="98" t="e">
        <f>+'Plan de Adquisiciones '!#REF!</f>
        <v>#REF!</v>
      </c>
      <c r="P8" s="98" t="e">
        <f>+'Plan de Adquisiciones '!#REF!</f>
        <v>#REF!</v>
      </c>
      <c r="Q8" s="107" t="e">
        <f>+'Plan de Adquisiciones '!#REF!</f>
        <v>#REF!</v>
      </c>
      <c r="R8" s="107" t="e">
        <f>+'Plan de Adquisiciones '!#REF!</f>
        <v>#REF!</v>
      </c>
      <c r="S8" s="107" t="e">
        <f>+'Plan de Adquisiciones '!#REF!</f>
        <v>#REF!</v>
      </c>
      <c r="T8" s="98" t="e">
        <f>+'Plan de Adquisiciones '!#REF!</f>
        <v>#REF!</v>
      </c>
      <c r="U8" s="107" t="e">
        <f>+'Plan de Adquisiciones '!#REF!</f>
        <v>#REF!</v>
      </c>
      <c r="V8" s="107" t="e">
        <f>+'Plan de Adquisiciones '!#REF!</f>
        <v>#REF!</v>
      </c>
      <c r="W8" s="107" t="e">
        <f>+'Plan de Adquisiciones '!#REF!</f>
        <v>#REF!</v>
      </c>
      <c r="X8" s="106"/>
      <c r="Y8" s="98" t="e">
        <f>+'Plan de Adquisiciones '!#REF!</f>
        <v>#REF!</v>
      </c>
      <c r="Z8" s="108" t="e">
        <f>+'Plan de Adquisiciones '!#REF!</f>
        <v>#REF!</v>
      </c>
      <c r="AA8" s="99"/>
      <c r="AB8" s="99"/>
      <c r="AC8" s="99"/>
      <c r="AD8" s="99"/>
      <c r="AE8" s="99"/>
    </row>
    <row r="9" spans="1:31" ht="123.75" x14ac:dyDescent="0.25">
      <c r="A9" s="59" t="s">
        <v>163</v>
      </c>
      <c r="B9" s="59" t="s">
        <v>147</v>
      </c>
      <c r="C9" s="59" t="s">
        <v>132</v>
      </c>
      <c r="D9" s="59" t="s">
        <v>196</v>
      </c>
      <c r="E9" s="59" t="s">
        <v>195</v>
      </c>
      <c r="F9" s="98">
        <f>+'Plan de Adquisiciones '!F24</f>
        <v>0</v>
      </c>
      <c r="G9" s="98">
        <f>+'Plan de Adquisiciones '!G24</f>
        <v>167</v>
      </c>
      <c r="H9" s="98">
        <f>+'Plan de Adquisiciones '!H24</f>
        <v>57</v>
      </c>
      <c r="I9" s="98" t="str">
        <f>+'Plan de Adquisiciones '!I24</f>
        <v xml:space="preserve">Prestación de servicios profesionales para realizar el análisis cuantitativo de  la consulta a las fuentes primarias y el análisis documental de  fuentes secundarias del programa Calidad Educativa para Todos, en la primera aplicación del  Sistema de seguimiento a la política educativa distrital en los contextos escolares, Fase 2 </v>
      </c>
      <c r="J9" s="98">
        <f>+'Plan de Adquisiciones '!J24</f>
        <v>80111621</v>
      </c>
      <c r="K9" s="98" t="str">
        <f>+'Plan de Adquisiciones '!K24</f>
        <v>Profesional 222-07</v>
      </c>
      <c r="L9" s="98" t="str">
        <f>+'Plan de Adquisiciones '!L24</f>
        <v>Jorge Palacio</v>
      </c>
      <c r="M9" s="98" t="str">
        <f>+'Plan de Adquisiciones '!N24</f>
        <v>Febrero</v>
      </c>
      <c r="N9" s="98">
        <f>+'Plan de Adquisiciones '!O24</f>
        <v>9</v>
      </c>
      <c r="O9" s="98" t="str">
        <f>+'Plan de Adquisiciones '!P24</f>
        <v xml:space="preserve"> Contratación Directa</v>
      </c>
      <c r="P9" s="98" t="str">
        <f>+'Plan de Adquisiciones '!Q24</f>
        <v>Directa</v>
      </c>
      <c r="Q9" s="107">
        <f>+'Plan de Adquisiciones '!R24</f>
        <v>59755077</v>
      </c>
      <c r="R9" s="107">
        <f>+'Plan de Adquisiciones '!S24</f>
        <v>0</v>
      </c>
      <c r="S9" s="107">
        <f>+'Plan de Adquisiciones '!T24</f>
        <v>59755077</v>
      </c>
      <c r="T9" s="98">
        <f>+'Plan de Adquisiciones '!U24</f>
        <v>1</v>
      </c>
      <c r="U9" s="107">
        <f>+'Plan de Adquisiciones '!V24</f>
        <v>59755077</v>
      </c>
      <c r="V9" s="107">
        <f>+'Plan de Adquisiciones '!W24</f>
        <v>0</v>
      </c>
      <c r="W9" s="107">
        <f>+'Plan de Adquisiciones '!X24</f>
        <v>59755077</v>
      </c>
      <c r="X9" s="106">
        <f>+'Plan de Adquisiciones '!Y24</f>
        <v>42794</v>
      </c>
      <c r="Y9" s="98">
        <f>+'Plan de Adquisiciones '!Z24</f>
        <v>16</v>
      </c>
      <c r="Z9" s="108" t="str">
        <f>+'Plan de Adquisiciones '!AA24</f>
        <v>JULIAN ROSERO NAVARRETE</v>
      </c>
    </row>
    <row r="10" spans="1:31" ht="123.75" x14ac:dyDescent="0.25">
      <c r="A10" s="59" t="s">
        <v>163</v>
      </c>
      <c r="B10" s="59" t="s">
        <v>147</v>
      </c>
      <c r="C10" s="59" t="s">
        <v>132</v>
      </c>
      <c r="D10" s="59" t="s">
        <v>196</v>
      </c>
      <c r="E10" s="59" t="s">
        <v>195</v>
      </c>
      <c r="F10" s="98">
        <f>+'Plan de Adquisiciones '!F25</f>
        <v>0</v>
      </c>
      <c r="G10" s="98">
        <f>+'Plan de Adquisiciones '!G25</f>
        <v>168</v>
      </c>
      <c r="H10" s="98">
        <f>+'Plan de Adquisiciones '!H25</f>
        <v>60</v>
      </c>
      <c r="I10" s="98" t="str">
        <f>+'Plan de Adquisiciones '!I25</f>
        <v>Prestación de servicios profesionales para realizar el análisis cualitativo de  la consulta a las fuentes primarias y el análisis documental de  fuentes secundarias del programa Calidad Educativa para Todos, en la primera aplicación del  Sistema de seguimiento a la política educativa distrital en los contextos escolares, Fase 2</v>
      </c>
      <c r="J10" s="98">
        <f>+'Plan de Adquisiciones '!J25</f>
        <v>80111621</v>
      </c>
      <c r="K10" s="98" t="str">
        <f>+'Plan de Adquisiciones '!K25</f>
        <v>Profesional 222-07</v>
      </c>
      <c r="L10" s="98" t="str">
        <f>+'Plan de Adquisiciones '!L25</f>
        <v>Jorge Palacio</v>
      </c>
      <c r="M10" s="98" t="str">
        <f>+'Plan de Adquisiciones '!N25</f>
        <v>Febrero</v>
      </c>
      <c r="N10" s="98">
        <f>+'Plan de Adquisiciones '!O25</f>
        <v>9</v>
      </c>
      <c r="O10" s="98" t="str">
        <f>+'Plan de Adquisiciones '!P25</f>
        <v xml:space="preserve"> Contratación Directa</v>
      </c>
      <c r="P10" s="98" t="str">
        <f>+'Plan de Adquisiciones '!Q25</f>
        <v>Directa</v>
      </c>
      <c r="Q10" s="107">
        <f>+'Plan de Adquisiciones '!R25</f>
        <v>59755077</v>
      </c>
      <c r="R10" s="107">
        <f>+'Plan de Adquisiciones '!S25</f>
        <v>0</v>
      </c>
      <c r="S10" s="107">
        <f>+'Plan de Adquisiciones '!T25</f>
        <v>59755077</v>
      </c>
      <c r="T10" s="98">
        <f>+'Plan de Adquisiciones '!U25</f>
        <v>1</v>
      </c>
      <c r="U10" s="107">
        <f>+'Plan de Adquisiciones '!V25</f>
        <v>59755077</v>
      </c>
      <c r="V10" s="107">
        <f>+'Plan de Adquisiciones '!W25</f>
        <v>0</v>
      </c>
      <c r="W10" s="107">
        <f>+'Plan de Adquisiciones '!X25</f>
        <v>59755077</v>
      </c>
      <c r="X10" s="106">
        <f>+'Plan de Adquisiciones '!Y25</f>
        <v>42794</v>
      </c>
      <c r="Y10" s="98">
        <f>+'Plan de Adquisiciones '!Z25</f>
        <v>15</v>
      </c>
      <c r="Z10" s="108" t="str">
        <f>+'Plan de Adquisiciones '!AA25</f>
        <v>LUIS ROJAS GARCIA</v>
      </c>
    </row>
    <row r="11" spans="1:31" ht="146.25" x14ac:dyDescent="0.25">
      <c r="A11" s="59" t="s">
        <v>163</v>
      </c>
      <c r="B11" s="59" t="s">
        <v>147</v>
      </c>
      <c r="C11" s="59" t="s">
        <v>132</v>
      </c>
      <c r="D11" s="59" t="s">
        <v>196</v>
      </c>
      <c r="E11" s="59" t="s">
        <v>195</v>
      </c>
      <c r="F11" s="98">
        <f>+'Plan de Adquisiciones '!F26</f>
        <v>0</v>
      </c>
      <c r="G11" s="98">
        <f>+'Plan de Adquisiciones '!G26</f>
        <v>173</v>
      </c>
      <c r="H11" s="98">
        <f>+'Plan de Adquisiciones '!H26</f>
        <v>0</v>
      </c>
      <c r="I11" s="98" t="str">
        <f>+'Plan de Adquisiciones '!I26</f>
        <v>Prestación de servicios profesionales para realizar el análisis cualitativo y cuantitativo de  la consulta a las fuentes primarias y el análisis documental de  fuentes secundarias del programa Equipo para el reencuentro, la reconciliación y la paz, en la primera aplicación del  Sistema de seguimiento a la política educativa distrital en los contextos escolares, Fase 2</v>
      </c>
      <c r="J11" s="98">
        <f>+'Plan de Adquisiciones '!J26</f>
        <v>80111622</v>
      </c>
      <c r="K11" s="98" t="str">
        <f>+'Plan de Adquisiciones '!K26</f>
        <v>Profesional 222-07</v>
      </c>
      <c r="L11" s="98" t="str">
        <f>+'Plan de Adquisiciones '!L26</f>
        <v>Jorge Palacio</v>
      </c>
      <c r="M11" s="98" t="str">
        <f>+'Plan de Adquisiciones '!N26</f>
        <v>Febrero</v>
      </c>
      <c r="N11" s="98">
        <f>+'Plan de Adquisiciones '!O26</f>
        <v>9</v>
      </c>
      <c r="O11" s="98" t="str">
        <f>+'Plan de Adquisiciones '!P26</f>
        <v xml:space="preserve"> Contratación Directa</v>
      </c>
      <c r="P11" s="98" t="str">
        <f>+'Plan de Adquisiciones '!Q26</f>
        <v>Directa</v>
      </c>
      <c r="Q11" s="107">
        <f>+'Plan de Adquisiciones '!R26</f>
        <v>59755077</v>
      </c>
      <c r="R11" s="107">
        <f>+'Plan de Adquisiciones '!S26</f>
        <v>0</v>
      </c>
      <c r="S11" s="107">
        <f>+'Plan de Adquisiciones '!T26</f>
        <v>59755077</v>
      </c>
      <c r="T11" s="98">
        <f>+'Plan de Adquisiciones '!U26</f>
        <v>1</v>
      </c>
      <c r="U11" s="107">
        <f>+'Plan de Adquisiciones '!V26</f>
        <v>59755077</v>
      </c>
      <c r="V11" s="107">
        <f>+'Plan de Adquisiciones '!W26</f>
        <v>0</v>
      </c>
      <c r="W11" s="107">
        <f>+'Plan de Adquisiciones '!X26</f>
        <v>59755077</v>
      </c>
      <c r="X11" s="106">
        <f>+'Plan de Adquisiciones '!Y26</f>
        <v>42794</v>
      </c>
      <c r="Y11" s="98">
        <f>+'Plan de Adquisiciones '!Z26</f>
        <v>14</v>
      </c>
      <c r="Z11" s="108" t="str">
        <f>+'Plan de Adquisiciones '!AA26</f>
        <v>LINA VARGAS ALVAREZ</v>
      </c>
    </row>
    <row r="12" spans="1:31" ht="90" x14ac:dyDescent="0.25">
      <c r="A12" s="59" t="s">
        <v>163</v>
      </c>
      <c r="B12" s="59" t="s">
        <v>147</v>
      </c>
      <c r="C12" s="59" t="s">
        <v>132</v>
      </c>
      <c r="D12" s="59" t="s">
        <v>196</v>
      </c>
      <c r="E12" s="59" t="s">
        <v>195</v>
      </c>
      <c r="F12" s="98">
        <f>+'Plan de Adquisiciones '!F27</f>
        <v>0</v>
      </c>
      <c r="G12" s="98">
        <f>+'Plan de Adquisiciones '!G27</f>
        <v>51</v>
      </c>
      <c r="H12" s="98">
        <f>+'Plan de Adquisiciones '!H27</f>
        <v>0</v>
      </c>
      <c r="I12" s="98" t="str">
        <f>+'Plan de Adquisiciones '!I27</f>
        <v>Prestación de servicios profesionales para  realizar la  articulación de acciones y consolidación de resultados, en la primera aplicación del  Sistema de seguimiento a la política educativa distrital en los contextos escolares, Fase 2</v>
      </c>
      <c r="J12" s="98">
        <f>+'Plan de Adquisiciones '!J27</f>
        <v>80111621</v>
      </c>
      <c r="K12" s="98" t="str">
        <f>+'Plan de Adquisiciones '!K27</f>
        <v>Profesional 222-07</v>
      </c>
      <c r="L12" s="98" t="str">
        <f>+'Plan de Adquisiciones '!L27</f>
        <v>Jorge Palacio</v>
      </c>
      <c r="M12" s="98" t="str">
        <f>+'Plan de Adquisiciones '!N27</f>
        <v>Febrero</v>
      </c>
      <c r="N12" s="98">
        <f>+'Plan de Adquisiciones '!O27</f>
        <v>9</v>
      </c>
      <c r="O12" s="98" t="str">
        <f>+'Plan de Adquisiciones '!P27</f>
        <v xml:space="preserve"> Contratación Directa</v>
      </c>
      <c r="P12" s="98" t="str">
        <f>+'Plan de Adquisiciones '!Q27</f>
        <v>Directa</v>
      </c>
      <c r="Q12" s="107">
        <f>+'Plan de Adquisiciones '!R27</f>
        <v>73033983</v>
      </c>
      <c r="R12" s="107">
        <f>+'Plan de Adquisiciones '!S27</f>
        <v>0</v>
      </c>
      <c r="S12" s="107">
        <f>+'Plan de Adquisiciones '!T27</f>
        <v>73033983</v>
      </c>
      <c r="T12" s="98">
        <f>+'Plan de Adquisiciones '!U27</f>
        <v>1</v>
      </c>
      <c r="U12" s="107">
        <f>+'Plan de Adquisiciones '!V27</f>
        <v>73033983</v>
      </c>
      <c r="V12" s="107">
        <f>+'Plan de Adquisiciones '!W27</f>
        <v>0</v>
      </c>
      <c r="W12" s="107">
        <f>+'Plan de Adquisiciones '!X27</f>
        <v>73033983</v>
      </c>
      <c r="X12" s="106">
        <f>+'Plan de Adquisiciones '!Y27</f>
        <v>42796</v>
      </c>
      <c r="Y12" s="98">
        <f>+'Plan de Adquisiciones '!Z27</f>
        <v>20</v>
      </c>
      <c r="Z12" s="108" t="str">
        <f>+'Plan de Adquisiciones '!AA27</f>
        <v>MARTHA VIVES HURTADO</v>
      </c>
    </row>
    <row r="13" spans="1:31" ht="157.5" x14ac:dyDescent="0.25">
      <c r="A13" s="59" t="s">
        <v>163</v>
      </c>
      <c r="B13" s="59" t="s">
        <v>147</v>
      </c>
      <c r="C13" s="59" t="s">
        <v>132</v>
      </c>
      <c r="D13" s="59" t="s">
        <v>196</v>
      </c>
      <c r="E13" s="59" t="s">
        <v>195</v>
      </c>
      <c r="F13" s="98">
        <f>+'Plan de Adquisiciones '!F28</f>
        <v>0</v>
      </c>
      <c r="G13" s="98">
        <f>+'Plan de Adquisiciones '!G28</f>
        <v>276</v>
      </c>
      <c r="H13" s="98">
        <f>+'Plan de Adquisiciones '!H28</f>
        <v>0</v>
      </c>
      <c r="I13" s="98" t="str">
        <f>+'Plan de Adquisiciones '!I28</f>
        <v>Prestación de servicios profesionales para apoyar los procesos académicos relacionados con la indagación cualitativa, cuantitativa y mixta, en las líneas estratégicas de Calidad Educativa para Todos y Equipo por la Educación para el Reencuentro, la Reconciliación y la Paz,  en el marco de la primera aplicación del  Sistema de seguimiento a la política educativa distrital en los contextos escolares, Fase 2.</v>
      </c>
      <c r="J13" s="98">
        <f>+'Plan de Adquisiciones '!J28</f>
        <v>80111621</v>
      </c>
      <c r="K13" s="98" t="str">
        <f>+'Plan de Adquisiciones '!K28</f>
        <v>Profesional 222-07</v>
      </c>
      <c r="L13" s="98" t="str">
        <f>+'Plan de Adquisiciones '!L28</f>
        <v>Jorge Palacio</v>
      </c>
      <c r="M13" s="98" t="str">
        <f>+'Plan de Adquisiciones '!N28</f>
        <v>Junio</v>
      </c>
      <c r="N13" s="98">
        <f>+'Plan de Adquisiciones '!O28</f>
        <v>5</v>
      </c>
      <c r="O13" s="98" t="str">
        <f>+'Plan de Adquisiciones '!P28</f>
        <v xml:space="preserve"> Contratación Directa</v>
      </c>
      <c r="P13" s="98" t="str">
        <f>+'Plan de Adquisiciones '!Q28</f>
        <v>Directa</v>
      </c>
      <c r="Q13" s="107">
        <f>+'Plan de Adquisiciones '!R28</f>
        <v>206500000</v>
      </c>
      <c r="R13" s="107">
        <f>+'Plan de Adquisiciones '!S28</f>
        <v>0</v>
      </c>
      <c r="S13" s="107">
        <f>+'Plan de Adquisiciones '!T28</f>
        <v>206500000</v>
      </c>
      <c r="T13" s="98">
        <f>+'Plan de Adquisiciones '!U28</f>
        <v>0</v>
      </c>
      <c r="U13" s="107">
        <f>+'Plan de Adquisiciones '!V28</f>
        <v>206500000</v>
      </c>
      <c r="V13" s="107">
        <f>+'Plan de Adquisiciones '!W28</f>
        <v>0</v>
      </c>
      <c r="W13" s="107">
        <f>+'Plan de Adquisiciones '!X28</f>
        <v>206500000</v>
      </c>
      <c r="X13" s="106"/>
      <c r="Y13" s="98">
        <f>+'Plan de Adquisiciones '!Z28</f>
        <v>93</v>
      </c>
      <c r="Z13" s="108" t="str">
        <f>+'Plan de Adquisiciones '!AA28</f>
        <v>DEPROYECTOS SAS.</v>
      </c>
    </row>
    <row r="14" spans="1:31" ht="90" x14ac:dyDescent="0.25">
      <c r="A14" s="59" t="s">
        <v>163</v>
      </c>
      <c r="B14" s="59" t="s">
        <v>147</v>
      </c>
      <c r="C14" s="59" t="s">
        <v>132</v>
      </c>
      <c r="D14" s="59" t="s">
        <v>196</v>
      </c>
      <c r="E14" s="59" t="s">
        <v>195</v>
      </c>
      <c r="F14" s="98">
        <f>+'Plan de Adquisiciones '!F29</f>
        <v>0</v>
      </c>
      <c r="G14" s="98">
        <f>+'Plan de Adquisiciones '!G29</f>
        <v>53</v>
      </c>
      <c r="H14" s="98">
        <f>+'Plan de Adquisiciones '!H29</f>
        <v>0</v>
      </c>
      <c r="I14" s="98" t="str">
        <f>+'Plan de Adquisiciones '!I29</f>
        <v>Prestación de servicios profesionales para brindar apoyo administrativo en los procesos y procedimientos desarrollados en el Estudio Sistema de seguimiento a la política educativa distrital en los contextos escolares - Fase 2.</v>
      </c>
      <c r="J14" s="98">
        <f>+'Plan de Adquisiciones '!J29</f>
        <v>80111601</v>
      </c>
      <c r="K14" s="98" t="str">
        <f>+'Plan de Adquisiciones '!K29</f>
        <v>Profesional 222-07</v>
      </c>
      <c r="L14" s="98" t="str">
        <f>+'Plan de Adquisiciones '!L29</f>
        <v>Jorge Palacio</v>
      </c>
      <c r="M14" s="98" t="str">
        <f>+'Plan de Adquisiciones '!N29</f>
        <v>Enero</v>
      </c>
      <c r="N14" s="98">
        <f>+'Plan de Adquisiciones '!O29</f>
        <v>11</v>
      </c>
      <c r="O14" s="98" t="str">
        <f>+'Plan de Adquisiciones '!P29</f>
        <v xml:space="preserve"> Contratación Directa</v>
      </c>
      <c r="P14" s="98" t="str">
        <f>+'Plan de Adquisiciones '!Q29</f>
        <v>Directa</v>
      </c>
      <c r="Q14" s="107">
        <f>+'Plan de Adquisiciones '!R29</f>
        <v>40574435</v>
      </c>
      <c r="R14" s="107">
        <f>+'Plan de Adquisiciones '!S29</f>
        <v>0</v>
      </c>
      <c r="S14" s="107">
        <f>+'Plan de Adquisiciones '!T29</f>
        <v>40574435</v>
      </c>
      <c r="T14" s="98">
        <f>+'Plan de Adquisiciones '!U29</f>
        <v>1</v>
      </c>
      <c r="U14" s="107">
        <f>+'Plan de Adquisiciones '!V29</f>
        <v>40574435</v>
      </c>
      <c r="V14" s="107">
        <f>+'Plan de Adquisiciones '!W29</f>
        <v>0</v>
      </c>
      <c r="W14" s="107">
        <f>+'Plan de Adquisiciones '!X29</f>
        <v>40574435</v>
      </c>
      <c r="X14" s="106">
        <f>+'Plan de Adquisiciones '!Y29</f>
        <v>42766</v>
      </c>
      <c r="Y14" s="98">
        <f>+'Plan de Adquisiciones '!Z29</f>
        <v>2</v>
      </c>
      <c r="Z14" s="108" t="str">
        <f>+'Plan de Adquisiciones '!AA29</f>
        <v>MARISOL HERNANDEZ</v>
      </c>
    </row>
    <row r="15" spans="1:31" ht="56.25" customHeight="1" x14ac:dyDescent="0.25">
      <c r="A15" s="60" t="s">
        <v>163</v>
      </c>
      <c r="B15" s="60" t="s">
        <v>147</v>
      </c>
      <c r="C15" s="60" t="s">
        <v>132</v>
      </c>
      <c r="D15" s="60" t="s">
        <v>36</v>
      </c>
      <c r="E15" s="60" t="s">
        <v>100</v>
      </c>
      <c r="F15" s="98" t="e">
        <f>+'Plan de Adquisiciones '!#REF!</f>
        <v>#REF!</v>
      </c>
      <c r="G15" s="98" t="e">
        <f>+'Plan de Adquisiciones '!#REF!</f>
        <v>#REF!</v>
      </c>
      <c r="H15" s="98" t="e">
        <f>+'Plan de Adquisiciones '!#REF!</f>
        <v>#REF!</v>
      </c>
      <c r="I15" s="98" t="e">
        <f>+'Plan de Adquisiciones '!#REF!</f>
        <v>#REF!</v>
      </c>
      <c r="J15" s="98" t="e">
        <f>+'Plan de Adquisiciones '!#REF!</f>
        <v>#REF!</v>
      </c>
      <c r="K15" s="98" t="e">
        <f>+'Plan de Adquisiciones '!#REF!</f>
        <v>#REF!</v>
      </c>
      <c r="L15" s="98" t="e">
        <f>+'Plan de Adquisiciones '!#REF!</f>
        <v>#REF!</v>
      </c>
      <c r="M15" s="98" t="e">
        <f>+'Plan de Adquisiciones '!#REF!</f>
        <v>#REF!</v>
      </c>
      <c r="N15" s="98" t="e">
        <f>+'Plan de Adquisiciones '!#REF!</f>
        <v>#REF!</v>
      </c>
      <c r="O15" s="98" t="e">
        <f>+'Plan de Adquisiciones '!#REF!</f>
        <v>#REF!</v>
      </c>
      <c r="P15" s="98" t="e">
        <f>+'Plan de Adquisiciones '!#REF!</f>
        <v>#REF!</v>
      </c>
      <c r="Q15" s="107" t="e">
        <f>+'Plan de Adquisiciones '!#REF!</f>
        <v>#REF!</v>
      </c>
      <c r="R15" s="107" t="e">
        <f>+'Plan de Adquisiciones '!#REF!</f>
        <v>#REF!</v>
      </c>
      <c r="S15" s="107" t="e">
        <f>+'Plan de Adquisiciones '!#REF!</f>
        <v>#REF!</v>
      </c>
      <c r="T15" s="98" t="e">
        <f>+'Plan de Adquisiciones '!#REF!</f>
        <v>#REF!</v>
      </c>
      <c r="U15" s="107" t="e">
        <f>+'Plan de Adquisiciones '!#REF!</f>
        <v>#REF!</v>
      </c>
      <c r="V15" s="107" t="e">
        <f>+'Plan de Adquisiciones '!#REF!</f>
        <v>#REF!</v>
      </c>
      <c r="W15" s="107" t="e">
        <f>+'Plan de Adquisiciones '!#REF!</f>
        <v>#REF!</v>
      </c>
      <c r="X15" s="106"/>
      <c r="Y15" s="98" t="e">
        <f>+'Plan de Adquisiciones '!#REF!</f>
        <v>#REF!</v>
      </c>
      <c r="Z15" s="108" t="e">
        <f>+'Plan de Adquisiciones '!#REF!</f>
        <v>#REF!</v>
      </c>
    </row>
    <row r="16" spans="1:31" ht="157.5" x14ac:dyDescent="0.25">
      <c r="A16" s="60" t="s">
        <v>163</v>
      </c>
      <c r="B16" s="60" t="s">
        <v>147</v>
      </c>
      <c r="C16" s="60" t="s">
        <v>132</v>
      </c>
      <c r="D16" s="60" t="s">
        <v>36</v>
      </c>
      <c r="E16" s="60" t="s">
        <v>100</v>
      </c>
      <c r="F16" s="98" t="str">
        <f>+'Plan de Adquisiciones '!F42</f>
        <v>Estudio Educación y Políticas Publicas: Abordaje de Maternidad y Paternidad Fase II</v>
      </c>
      <c r="G16" s="98">
        <f>+'Plan de Adquisiciones '!G42</f>
        <v>206</v>
      </c>
      <c r="H16" s="98">
        <f>+'Plan de Adquisiciones '!H42</f>
        <v>0</v>
      </c>
      <c r="I16" s="98" t="str">
        <f>+'Plan de Adquisiciones '!I42</f>
        <v>Prestación de servicios profesionales para realizar la revisión y análisis de datos estadísticos de diferentes fuentes secundarias relacionadas con temas de sexualidad para el estudio “Abordaje integral de la maternidad y la paternidad tempranas en el contexto escolar – fase II. Elaboración de un cuerpo de indicadores”, en el marco del Convenio 1452 de 2017 en su Componente 2.</v>
      </c>
      <c r="J16" s="98">
        <f>+'Plan de Adquisiciones '!J42</f>
        <v>80111621</v>
      </c>
      <c r="K16" s="98" t="str">
        <f>+'Plan de Adquisiciones '!K42</f>
        <v>Asesor 105-03</v>
      </c>
      <c r="L16" s="98" t="str">
        <f>+'Plan de Adquisiciones '!L42</f>
        <v>Martha Cuevas</v>
      </c>
      <c r="M16" s="97" t="str">
        <f>+'Plan de Adquisiciones '!N29</f>
        <v>Enero</v>
      </c>
      <c r="N16" s="98">
        <f>+'Plan de Adquisiciones '!O42</f>
        <v>4</v>
      </c>
      <c r="O16" s="98" t="str">
        <f>+'Plan de Adquisiciones '!P42</f>
        <v xml:space="preserve"> Contratación Directa</v>
      </c>
      <c r="P16" s="98" t="str">
        <f>+'Plan de Adquisiciones '!Q42</f>
        <v>Directa</v>
      </c>
      <c r="Q16" s="107">
        <f>+'Plan de Adquisiciones '!R42</f>
        <v>0</v>
      </c>
      <c r="R16" s="107">
        <f>+'Plan de Adquisiciones '!S42</f>
        <v>19918359</v>
      </c>
      <c r="S16" s="107">
        <f>+'Plan de Adquisiciones '!T42</f>
        <v>19918359</v>
      </c>
      <c r="T16" s="98">
        <f>+'Plan de Adquisiciones '!U42</f>
        <v>1</v>
      </c>
      <c r="U16" s="107">
        <f>+'Plan de Adquisiciones '!V42</f>
        <v>0</v>
      </c>
      <c r="V16" s="107">
        <f>+'Plan de Adquisiciones '!W42</f>
        <v>19918359</v>
      </c>
      <c r="W16" s="107">
        <f>+'Plan de Adquisiciones '!X42</f>
        <v>19918359</v>
      </c>
      <c r="X16" s="106">
        <f>+'Plan de Adquisiciones '!Y42</f>
        <v>42852</v>
      </c>
      <c r="Y16" s="98">
        <f>+'Plan de Adquisiciones '!Z42</f>
        <v>66</v>
      </c>
      <c r="Z16" s="108" t="str">
        <f>+'Plan de Adquisiciones '!AA42</f>
        <v>JHON CALDERON RODRIGUEZ</v>
      </c>
    </row>
    <row r="17" spans="1:30" ht="123.75" x14ac:dyDescent="0.25">
      <c r="A17" s="60" t="s">
        <v>163</v>
      </c>
      <c r="B17" s="60" t="s">
        <v>147</v>
      </c>
      <c r="C17" s="60" t="s">
        <v>132</v>
      </c>
      <c r="D17" s="60" t="s">
        <v>36</v>
      </c>
      <c r="E17" s="60" t="s">
        <v>100</v>
      </c>
      <c r="F17" s="98">
        <f>+'Plan de Adquisiciones '!F43</f>
        <v>0</v>
      </c>
      <c r="G17" s="98">
        <f>+'Plan de Adquisiciones '!G43</f>
        <v>207</v>
      </c>
      <c r="H17" s="98">
        <f>+'Plan de Adquisiciones '!H43</f>
        <v>0</v>
      </c>
      <c r="I17" s="98" t="str">
        <f>+'Plan de Adquisiciones '!I43</f>
        <v>Prestación de servicios profesionales para orientar académicamente, desde una perspectiva cualitativa, el estudio “Abordaje integral de la maternidad y la paternidad tempranas en el contexto escolar – fase II. Elaboración de un cuerpo de indicadores”, en el marco del Convenio 1452 de 2017 en su Componente 2.</v>
      </c>
      <c r="J17" s="98">
        <f>+'Plan de Adquisiciones '!J43</f>
        <v>80111621</v>
      </c>
      <c r="K17" s="98" t="str">
        <f>+'Plan de Adquisiciones '!K43</f>
        <v>Asesor 105-03</v>
      </c>
      <c r="L17" s="98" t="str">
        <f>+'Plan de Adquisiciones '!L43</f>
        <v>Martha Cuevas</v>
      </c>
      <c r="M17" s="98" t="str">
        <f>+'Plan de Adquisiciones '!N43</f>
        <v>Mayo</v>
      </c>
      <c r="N17" s="98">
        <f>+'Plan de Adquisiciones '!O43</f>
        <v>4</v>
      </c>
      <c r="O17" s="98" t="str">
        <f>+'Plan de Adquisiciones '!P43</f>
        <v xml:space="preserve"> Contratación Directa</v>
      </c>
      <c r="P17" s="98" t="str">
        <f>+'Plan de Adquisiciones '!Q43</f>
        <v>Directa</v>
      </c>
      <c r="Q17" s="107">
        <f>+'Plan de Adquisiciones '!R43</f>
        <v>0</v>
      </c>
      <c r="R17" s="107">
        <f>+'Plan de Adquisiciones '!S43</f>
        <v>27590616</v>
      </c>
      <c r="S17" s="107">
        <f>+'Plan de Adquisiciones '!T43</f>
        <v>27590616</v>
      </c>
      <c r="T17" s="98">
        <f>+'Plan de Adquisiciones '!U43</f>
        <v>1</v>
      </c>
      <c r="U17" s="107">
        <f>+'Plan de Adquisiciones '!V43</f>
        <v>0</v>
      </c>
      <c r="V17" s="107">
        <f>+'Plan de Adquisiciones '!W43</f>
        <v>27590616</v>
      </c>
      <c r="W17" s="107">
        <f>+'Plan de Adquisiciones '!X43</f>
        <v>27590616</v>
      </c>
      <c r="X17" s="106"/>
      <c r="Y17" s="98">
        <f>+'Plan de Adquisiciones '!Z43</f>
        <v>88</v>
      </c>
      <c r="Z17" s="108" t="str">
        <f>+'Plan de Adquisiciones '!AA43</f>
        <v>LILA BEATRIZ PINTO BORREGO</v>
      </c>
    </row>
    <row r="18" spans="1:30" ht="123.75" x14ac:dyDescent="0.25">
      <c r="A18" s="60" t="s">
        <v>163</v>
      </c>
      <c r="B18" s="60" t="s">
        <v>147</v>
      </c>
      <c r="C18" s="60" t="s">
        <v>132</v>
      </c>
      <c r="D18" s="60" t="s">
        <v>36</v>
      </c>
      <c r="E18" s="60" t="s">
        <v>100</v>
      </c>
      <c r="F18" s="98">
        <f>+'Plan de Adquisiciones '!F44</f>
        <v>0</v>
      </c>
      <c r="G18" s="98">
        <f>+'Plan de Adquisiciones '!G44</f>
        <v>208</v>
      </c>
      <c r="H18" s="98">
        <f>+'Plan de Adquisiciones '!H44</f>
        <v>0</v>
      </c>
      <c r="I18" s="98" t="str">
        <f>+'Plan de Adquisiciones '!I44</f>
        <v>Prestación de servicios profesionales para orientar académicamente, desde una perspectiva cuantitativa, el estudio “Abordaje integral de la maternidad y la paternidad tempranas en el contexto escolar – fase II. Elaboración de un cuerpo de indicadores”, en el marco del Convenio 1452 de 2017 en su Componente 2.</v>
      </c>
      <c r="J18" s="98">
        <f>+'Plan de Adquisiciones '!J44</f>
        <v>80111621</v>
      </c>
      <c r="K18" s="98" t="str">
        <f>+'Plan de Adquisiciones '!K44</f>
        <v>Asesor 105-03</v>
      </c>
      <c r="L18" s="98" t="str">
        <f>+'Plan de Adquisiciones '!L44</f>
        <v>Martha Cuevas</v>
      </c>
      <c r="M18" s="98" t="str">
        <f>+'Plan de Adquisiciones '!N44</f>
        <v>Mayo</v>
      </c>
      <c r="N18" s="98">
        <f>+'Plan de Adquisiciones '!O44</f>
        <v>4</v>
      </c>
      <c r="O18" s="98" t="str">
        <f>+'Plan de Adquisiciones '!P44</f>
        <v xml:space="preserve"> Contratación Directa</v>
      </c>
      <c r="P18" s="98" t="str">
        <f>+'Plan de Adquisiciones '!Q44</f>
        <v>Directa</v>
      </c>
      <c r="Q18" s="107">
        <f>+'Plan de Adquisiciones '!R44</f>
        <v>0</v>
      </c>
      <c r="R18" s="107">
        <f>+'Plan de Adquisiciones '!S44</f>
        <v>27590616</v>
      </c>
      <c r="S18" s="107">
        <f>+'Plan de Adquisiciones '!T44</f>
        <v>27590616</v>
      </c>
      <c r="T18" s="98">
        <f>+'Plan de Adquisiciones '!U44</f>
        <v>1</v>
      </c>
      <c r="U18" s="107">
        <f>+'Plan de Adquisiciones '!V44</f>
        <v>0</v>
      </c>
      <c r="V18" s="107">
        <f>+'Plan de Adquisiciones '!W44</f>
        <v>27590616</v>
      </c>
      <c r="W18" s="107">
        <f>+'Plan de Adquisiciones '!X44</f>
        <v>27590616</v>
      </c>
      <c r="X18" s="106">
        <f>+'Plan de Adquisiciones '!Y44</f>
        <v>42863</v>
      </c>
      <c r="Y18" s="98">
        <f>+'Plan de Adquisiciones '!Z44</f>
        <v>75</v>
      </c>
      <c r="Z18" s="108" t="str">
        <f>+'Plan de Adquisiciones '!AA44</f>
        <v>MARINA BERNAL GOMEZ</v>
      </c>
      <c r="AA18" s="100"/>
      <c r="AB18" s="100"/>
      <c r="AC18" s="100"/>
      <c r="AD18" s="100"/>
    </row>
    <row r="19" spans="1:30" ht="135" x14ac:dyDescent="0.25">
      <c r="A19" s="60" t="s">
        <v>163</v>
      </c>
      <c r="B19" s="60" t="s">
        <v>147</v>
      </c>
      <c r="C19" s="60" t="s">
        <v>132</v>
      </c>
      <c r="D19" s="60" t="s">
        <v>36</v>
      </c>
      <c r="E19" s="60" t="s">
        <v>100</v>
      </c>
      <c r="F19" s="98">
        <f>+'Plan de Adquisiciones '!F45</f>
        <v>0</v>
      </c>
      <c r="G19" s="98">
        <f>+'Plan de Adquisiciones '!G45</f>
        <v>209</v>
      </c>
      <c r="H19" s="98">
        <f>+'Plan de Adquisiciones '!H45</f>
        <v>0</v>
      </c>
      <c r="I19" s="98" t="str">
        <f>+'Plan de Adquisiciones '!I45</f>
        <v>Prestación de servicios profesionales para la construcción de indicadores e instrumentos cualitativos del estudio “Abordaje integral de la maternidad y la paternidad tempranas en el contexto escolar – fase II. Elaboración de un cuerpo de indicadores”, en el marco del Convenio 1452 del 17 de marzo de 2017 en su Componente 2.</v>
      </c>
      <c r="J19" s="98">
        <f>+'Plan de Adquisiciones '!J45</f>
        <v>80111621</v>
      </c>
      <c r="K19" s="98" t="str">
        <f>+'Plan de Adquisiciones '!K45</f>
        <v>Asesor 105-03</v>
      </c>
      <c r="L19" s="98" t="str">
        <f>+'Plan de Adquisiciones '!L45</f>
        <v>Martha Cuevas</v>
      </c>
      <c r="M19" s="98" t="str">
        <f>+'Plan de Adquisiciones '!N45</f>
        <v>Mayo</v>
      </c>
      <c r="N19" s="98">
        <f>+'Plan de Adquisiciones '!O45</f>
        <v>4</v>
      </c>
      <c r="O19" s="98" t="str">
        <f>+'Plan de Adquisiciones '!P45</f>
        <v xml:space="preserve"> Contratación Directa</v>
      </c>
      <c r="P19" s="98" t="str">
        <f>+'Plan de Adquisiciones '!Q45</f>
        <v>Directa</v>
      </c>
      <c r="Q19" s="107">
        <f>+'Plan de Adquisiciones '!R45</f>
        <v>14936309</v>
      </c>
      <c r="R19" s="107">
        <f>+'Plan de Adquisiciones '!S45</f>
        <v>4982050</v>
      </c>
      <c r="S19" s="107">
        <f>+'Plan de Adquisiciones '!T45</f>
        <v>19918359</v>
      </c>
      <c r="T19" s="98">
        <f>+'Plan de Adquisiciones '!U45</f>
        <v>1</v>
      </c>
      <c r="U19" s="107">
        <f>+'Plan de Adquisiciones '!V45</f>
        <v>14936309</v>
      </c>
      <c r="V19" s="107">
        <f>+'Plan de Adquisiciones '!W45</f>
        <v>4982050</v>
      </c>
      <c r="W19" s="107">
        <f>+'Plan de Adquisiciones '!X45</f>
        <v>19918359</v>
      </c>
      <c r="X19" s="106">
        <f>+'Plan de Adquisiciones '!Y45</f>
        <v>42863</v>
      </c>
      <c r="Y19" s="98">
        <f>+'Plan de Adquisiciones '!Z45</f>
        <v>74</v>
      </c>
      <c r="Z19" s="108" t="str">
        <f>+'Plan de Adquisiciones '!AA45</f>
        <v>ALEJANDRA QUINTANA MARTINEZ</v>
      </c>
      <c r="AA19" s="100">
        <f>+'Plan de Adquisiciones '!AB45</f>
        <v>4982050</v>
      </c>
    </row>
    <row r="20" spans="1:30" ht="123.75" x14ac:dyDescent="0.25">
      <c r="A20" s="60" t="s">
        <v>163</v>
      </c>
      <c r="B20" s="60" t="s">
        <v>147</v>
      </c>
      <c r="C20" s="60" t="s">
        <v>132</v>
      </c>
      <c r="D20" s="60" t="s">
        <v>36</v>
      </c>
      <c r="E20" s="60" t="s">
        <v>100</v>
      </c>
      <c r="F20" s="98">
        <f>+'Plan de Adquisiciones '!F46</f>
        <v>0</v>
      </c>
      <c r="G20" s="98">
        <f>+'Plan de Adquisiciones '!G46</f>
        <v>210</v>
      </c>
      <c r="H20" s="98">
        <f>+'Plan de Adquisiciones '!H46</f>
        <v>0</v>
      </c>
      <c r="I20" s="98" t="str">
        <f>+'Plan de Adquisiciones '!I46</f>
        <v>Prestación de servicios profesionales para la construcción de indicadores e instrumentos cuantitativos del estudio “Abordaje integral de la maternidad y la paternidad tempranas en el contexto escolar – fase II. Elaboración de un cuerpo de indicadores”, en el marco del Convenio 1452 de 2017 en su Componente 2.</v>
      </c>
      <c r="J20" s="98">
        <f>+'Plan de Adquisiciones '!J46</f>
        <v>80111621</v>
      </c>
      <c r="K20" s="98" t="str">
        <f>+'Plan de Adquisiciones '!K46</f>
        <v>Asesor 105-03</v>
      </c>
      <c r="L20" s="98" t="str">
        <f>+'Plan de Adquisiciones '!L46</f>
        <v>Martha Cuevas</v>
      </c>
      <c r="M20" s="98" t="str">
        <f>+'Plan de Adquisiciones '!N46</f>
        <v>Mayo</v>
      </c>
      <c r="N20" s="98">
        <f>+'Plan de Adquisiciones '!O46</f>
        <v>4</v>
      </c>
      <c r="O20" s="98" t="str">
        <f>+'Plan de Adquisiciones '!P46</f>
        <v xml:space="preserve"> Contratación Directa</v>
      </c>
      <c r="P20" s="98" t="str">
        <f>+'Plan de Adquisiciones '!Q46</f>
        <v>Directa</v>
      </c>
      <c r="Q20" s="107">
        <f>+'Plan de Adquisiciones '!R46</f>
        <v>0</v>
      </c>
      <c r="R20" s="107">
        <f>+'Plan de Adquisiciones '!S46</f>
        <v>19918359</v>
      </c>
      <c r="S20" s="107">
        <f>+'Plan de Adquisiciones '!T46</f>
        <v>19918359</v>
      </c>
      <c r="T20" s="98">
        <f>+'Plan de Adquisiciones '!U46</f>
        <v>1</v>
      </c>
      <c r="U20" s="107">
        <f>+'Plan de Adquisiciones '!V46</f>
        <v>0</v>
      </c>
      <c r="V20" s="107">
        <f>+'Plan de Adquisiciones '!W46</f>
        <v>19918359</v>
      </c>
      <c r="W20" s="107">
        <f>+'Plan de Adquisiciones '!X46</f>
        <v>19918359</v>
      </c>
      <c r="X20" s="106">
        <f>+'Plan de Adquisiciones '!Y46</f>
        <v>42864</v>
      </c>
      <c r="Y20" s="98">
        <f>+'Plan de Adquisiciones '!Z46</f>
        <v>76</v>
      </c>
      <c r="Z20" s="108" t="str">
        <f>+'Plan de Adquisiciones '!AA46</f>
        <v>ANA MARIA GIRALDO VARGAS</v>
      </c>
      <c r="AA20" s="100">
        <f>+'Plan de Adquisiciones '!AB46</f>
        <v>19918359</v>
      </c>
    </row>
    <row r="21" spans="1:30" ht="112.5" x14ac:dyDescent="0.25">
      <c r="A21" s="60" t="s">
        <v>163</v>
      </c>
      <c r="B21" s="60" t="s">
        <v>147</v>
      </c>
      <c r="C21" s="60" t="s">
        <v>132</v>
      </c>
      <c r="D21" s="60" t="s">
        <v>36</v>
      </c>
      <c r="E21" s="60" t="s">
        <v>100</v>
      </c>
      <c r="F21" s="98">
        <f>+'Plan de Adquisiciones '!F47</f>
        <v>0</v>
      </c>
      <c r="G21" s="98">
        <f>+'Plan de Adquisiciones '!G47</f>
        <v>230</v>
      </c>
      <c r="H21" s="98">
        <f>+'Plan de Adquisiciones '!H47</f>
        <v>0</v>
      </c>
      <c r="I21" s="98" t="str">
        <f>+'Plan de Adquisiciones '!I47</f>
        <v>Prestación de servicios profesionales para realizar la gestión administrativa dentro del estudio "Abordaje integral de la maternidad y la paternidad tempranas en el contexto escolar – fase II. Elaboración de un cuerpo de indicadores”, en el marco del Convenio 1452 de 2017 en su Componente 2.</v>
      </c>
      <c r="J21" s="98">
        <f>+'Plan de Adquisiciones '!J47</f>
        <v>80111621</v>
      </c>
      <c r="K21" s="98" t="str">
        <f>+'Plan de Adquisiciones '!K47</f>
        <v>Asesor 105-03</v>
      </c>
      <c r="L21" s="98" t="str">
        <f>+'Plan de Adquisiciones '!L47</f>
        <v>Martha Cuevas</v>
      </c>
      <c r="M21" s="97" t="e">
        <f>+'Plan de Adquisiciones '!#REF!</f>
        <v>#REF!</v>
      </c>
      <c r="N21" s="98">
        <f>+'Plan de Adquisiciones '!O47</f>
        <v>4</v>
      </c>
      <c r="O21" s="98" t="str">
        <f>+'Plan de Adquisiciones '!P47</f>
        <v xml:space="preserve"> Contratación Directa</v>
      </c>
      <c r="P21" s="98" t="str">
        <f>+'Plan de Adquisiciones '!Q47</f>
        <v>Directa</v>
      </c>
      <c r="Q21" s="107">
        <f>+'Plan de Adquisiciones '!R47</f>
        <v>14754340</v>
      </c>
      <c r="R21" s="107">
        <f>+'Plan de Adquisiciones '!S47</f>
        <v>0</v>
      </c>
      <c r="S21" s="107">
        <f>+'Plan de Adquisiciones '!T47</f>
        <v>14754340</v>
      </c>
      <c r="T21" s="98">
        <f>+'Plan de Adquisiciones '!U47</f>
        <v>1</v>
      </c>
      <c r="U21" s="107">
        <f>+'Plan de Adquisiciones '!V47</f>
        <v>14754340</v>
      </c>
      <c r="V21" s="107">
        <f>+'Plan de Adquisiciones '!W47</f>
        <v>0</v>
      </c>
      <c r="W21" s="107">
        <f>+'Plan de Adquisiciones '!X47</f>
        <v>14754340</v>
      </c>
      <c r="X21" s="106">
        <f>+'Plan de Adquisiciones '!Y47</f>
        <v>42849</v>
      </c>
      <c r="Y21" s="98">
        <f>+'Plan de Adquisiciones '!Z47</f>
        <v>56</v>
      </c>
      <c r="Z21" s="108" t="str">
        <f>+'Plan de Adquisiciones '!AA47</f>
        <v>ANA LUCIA FLOREZ GALVIS</v>
      </c>
      <c r="AA21" s="100">
        <f>+'Plan de Adquisiciones '!AB47</f>
        <v>0</v>
      </c>
    </row>
    <row r="22" spans="1:30" ht="146.25" x14ac:dyDescent="0.25">
      <c r="A22" s="60" t="s">
        <v>163</v>
      </c>
      <c r="B22" s="60" t="s">
        <v>147</v>
      </c>
      <c r="C22" s="60" t="s">
        <v>132</v>
      </c>
      <c r="D22" s="60" t="s">
        <v>36</v>
      </c>
      <c r="E22" s="60" t="s">
        <v>36</v>
      </c>
      <c r="F22" s="98">
        <f>+'Plan de Adquisiciones '!F48</f>
        <v>0</v>
      </c>
      <c r="G22" s="98">
        <f>+'Plan de Adquisiciones '!G48</f>
        <v>246</v>
      </c>
      <c r="H22" s="98">
        <f>+'Plan de Adquisiciones '!H48</f>
        <v>0</v>
      </c>
      <c r="I22" s="98" t="str">
        <f>+'Plan de Adquisiciones '!I48</f>
        <v>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v>
      </c>
      <c r="J22" s="98">
        <f>+'Plan de Adquisiciones '!J48</f>
        <v>80111621</v>
      </c>
      <c r="K22" s="98" t="str">
        <f>+'Plan de Adquisiciones '!K48</f>
        <v>Asesor 105-02</v>
      </c>
      <c r="L22" s="98" t="str">
        <f>+'Plan de Adquisiciones '!L48</f>
        <v>María Isabel Ramírez</v>
      </c>
      <c r="M22" s="98" t="str">
        <f>+'Plan de Adquisiciones '!N48</f>
        <v>Mayo</v>
      </c>
      <c r="N22" s="98">
        <f>+'Plan de Adquisiciones '!O48</f>
        <v>7</v>
      </c>
      <c r="O22" s="98" t="str">
        <f>+'Plan de Adquisiciones '!P48</f>
        <v xml:space="preserve"> Contratación Directa</v>
      </c>
      <c r="P22" s="98" t="str">
        <f>+'Plan de Adquisiciones '!Q48</f>
        <v>Directa</v>
      </c>
      <c r="Q22" s="107">
        <f>+'Plan de Adquisiciones '!R48</f>
        <v>3309351</v>
      </c>
      <c r="R22" s="107">
        <f>+'Plan de Adquisiciones '!S48</f>
        <v>0</v>
      </c>
      <c r="S22" s="107">
        <f>+'Plan de Adquisiciones '!T48</f>
        <v>3309351</v>
      </c>
      <c r="T22" s="98">
        <f>+'Plan de Adquisiciones '!U48</f>
        <v>0</v>
      </c>
      <c r="U22" s="107">
        <f>+'Plan de Adquisiciones '!V48</f>
        <v>3309351</v>
      </c>
      <c r="V22" s="107">
        <f>+'Plan de Adquisiciones '!W48</f>
        <v>0</v>
      </c>
      <c r="W22" s="107">
        <f>+'Plan de Adquisiciones '!X48</f>
        <v>3309351</v>
      </c>
      <c r="X22" s="106"/>
      <c r="Y22" s="98">
        <f>+'Plan de Adquisiciones '!Z48</f>
        <v>82</v>
      </c>
      <c r="Z22" s="108" t="str">
        <f>+'Plan de Adquisiciones '!AA48</f>
        <v>CORPORACION MIXTA PARA LA INVESTIGACION Y DESARROLLO DE LA EDUCACION - CORPOEDUCACION</v>
      </c>
      <c r="AA22" s="100">
        <f>+'Plan de Adquisiciones '!AB48</f>
        <v>0</v>
      </c>
    </row>
    <row r="23" spans="1:30" ht="91.5" customHeight="1" x14ac:dyDescent="0.25">
      <c r="A23" s="60" t="s">
        <v>163</v>
      </c>
      <c r="B23" s="60" t="s">
        <v>147</v>
      </c>
      <c r="C23" s="60" t="s">
        <v>132</v>
      </c>
      <c r="D23" s="60" t="s">
        <v>36</v>
      </c>
      <c r="E23" s="60" t="s">
        <v>36</v>
      </c>
      <c r="F23" s="98" t="e">
        <f>+'Plan de Adquisiciones '!#REF!</f>
        <v>#REF!</v>
      </c>
      <c r="G23" s="98"/>
      <c r="H23" s="98"/>
      <c r="I23" s="98" t="str">
        <f>+'Plan de Adquisiciones '!I50</f>
        <v>Prestación de servicios profesionales para la articulación y consolidación de la información producida durante el desarrollo del estudio de elaboración y aplicación de un sistema de monitoreo al cumplimiento de los estándares de calidad en Educación Inicial, en el marco del Convenio 1452 de 2017 en su componente 3.</v>
      </c>
      <c r="J23" s="98">
        <f>+'Plan de Adquisiciones '!J50</f>
        <v>80111601</v>
      </c>
      <c r="K23" s="98" t="str">
        <f>+'Plan de Adquisiciones '!K50</f>
        <v>Asesor 105-03</v>
      </c>
      <c r="L23" s="98" t="str">
        <f>+'Plan de Adquisiciones '!L50</f>
        <v>Martha Cuevas</v>
      </c>
      <c r="M23" s="97" t="str">
        <f>+'Plan de Adquisiciones '!N42</f>
        <v>Abril</v>
      </c>
      <c r="N23" s="98">
        <f>+'Plan de Adquisiciones '!O50</f>
        <v>8</v>
      </c>
      <c r="O23" s="98" t="str">
        <f>+'Plan de Adquisiciones '!P50</f>
        <v xml:space="preserve"> Contratación Directa</v>
      </c>
      <c r="P23" s="98" t="str">
        <f>+'Plan de Adquisiciones '!Q50</f>
        <v>Directa</v>
      </c>
      <c r="Q23" s="107">
        <f>+'Plan de Adquisiciones '!R50</f>
        <v>0</v>
      </c>
      <c r="R23" s="107">
        <f>+'Plan de Adquisiciones '!S50</f>
        <v>64919096</v>
      </c>
      <c r="S23" s="107">
        <f>+'Plan de Adquisiciones '!T50</f>
        <v>64919096</v>
      </c>
      <c r="T23" s="98">
        <f>+'Plan de Adquisiciones '!U50</f>
        <v>1</v>
      </c>
      <c r="U23" s="107">
        <f>+'Plan de Adquisiciones '!V50</f>
        <v>0</v>
      </c>
      <c r="V23" s="107">
        <f>+'Plan de Adquisiciones '!W50</f>
        <v>64919096</v>
      </c>
      <c r="W23" s="107">
        <f>+'Plan de Adquisiciones '!X50</f>
        <v>64919096</v>
      </c>
      <c r="X23" s="106">
        <f>+'Plan de Adquisiciones '!Y50</f>
        <v>42851</v>
      </c>
      <c r="Y23" s="98">
        <f>+'Plan de Adquisiciones '!Z50</f>
        <v>63</v>
      </c>
      <c r="Z23" s="108" t="str">
        <f>+'Plan de Adquisiciones '!AA50</f>
        <v>LUZ MARIBEL PAEZ MENDIETA</v>
      </c>
      <c r="AA23" s="100">
        <f>+'Plan de Adquisiciones '!AB50</f>
        <v>48689322</v>
      </c>
    </row>
    <row r="24" spans="1:30" ht="146.25" x14ac:dyDescent="0.25">
      <c r="A24" s="60" t="s">
        <v>163</v>
      </c>
      <c r="B24" s="60" t="s">
        <v>147</v>
      </c>
      <c r="C24" s="60" t="s">
        <v>132</v>
      </c>
      <c r="D24" s="60" t="s">
        <v>36</v>
      </c>
      <c r="E24" s="60" t="s">
        <v>36</v>
      </c>
      <c r="F24" s="98">
        <f>+'Plan de Adquisiciones '!F51</f>
        <v>0</v>
      </c>
      <c r="G24" s="98">
        <f>+'Plan de Adquisiciones '!G51</f>
        <v>213</v>
      </c>
      <c r="H24" s="98">
        <f>+'Plan de Adquisiciones '!H51</f>
        <v>0</v>
      </c>
      <c r="I24" s="98" t="str">
        <f>+'Plan de Adquisiciones '!I51</f>
        <v>Prestación de servicios profesionales para el ajuste, validación de la metodología, monitoreo a la aplicación, análisis e interpretación de resultados de instrumentos cuantitativos del estudio de elaboración y aplicación de un sistema de monitoreo al cumplimiento de los estándares de calidad en Educación Inicial, en el marco del Convenio 1452 de 2017 en su componente 3.</v>
      </c>
      <c r="J24" s="98">
        <f>+'Plan de Adquisiciones '!J51</f>
        <v>80111601</v>
      </c>
      <c r="K24" s="98" t="str">
        <f>+'Plan de Adquisiciones '!K51</f>
        <v>Asesor 105-03</v>
      </c>
      <c r="L24" s="98" t="str">
        <f>+'Plan de Adquisiciones '!L51</f>
        <v>Martha Cuevas</v>
      </c>
      <c r="M24" s="97" t="str">
        <f>+'Plan de Adquisiciones '!N43</f>
        <v>Mayo</v>
      </c>
      <c r="N24" s="98">
        <f>+'Plan de Adquisiciones '!O51</f>
        <v>7</v>
      </c>
      <c r="O24" s="98" t="str">
        <f>+'Plan de Adquisiciones '!P51</f>
        <v xml:space="preserve"> Contratación Directa</v>
      </c>
      <c r="P24" s="98" t="str">
        <f>+'Plan de Adquisiciones '!Q51</f>
        <v>Directa</v>
      </c>
      <c r="Q24" s="107">
        <f>+'Plan de Adquisiciones '!R51</f>
        <v>0</v>
      </c>
      <c r="R24" s="107">
        <f>+'Plan de Adquisiciones '!S51</f>
        <v>46476171</v>
      </c>
      <c r="S24" s="107">
        <f>+'Plan de Adquisiciones '!T51</f>
        <v>46476171</v>
      </c>
      <c r="T24" s="98">
        <f>+'Plan de Adquisiciones '!U51</f>
        <v>1</v>
      </c>
      <c r="U24" s="107">
        <f>+'Plan de Adquisiciones '!V51</f>
        <v>0</v>
      </c>
      <c r="V24" s="107">
        <f>+'Plan de Adquisiciones '!W51</f>
        <v>46476171</v>
      </c>
      <c r="W24" s="107">
        <f>+'Plan de Adquisiciones '!X51</f>
        <v>46476171</v>
      </c>
      <c r="X24" s="106">
        <f>+'Plan de Adquisiciones '!Y51</f>
        <v>42851</v>
      </c>
      <c r="Y24" s="98">
        <f>+'Plan de Adquisiciones '!Z51</f>
        <v>62</v>
      </c>
      <c r="Z24" s="108" t="str">
        <f>+'Plan de Adquisiciones '!AA51</f>
        <v>GLORIA DIMATE CASTELLANOS</v>
      </c>
      <c r="AA24" s="100">
        <f>+'Plan de Adquisiciones '!AB51</f>
        <v>33197265</v>
      </c>
    </row>
    <row r="25" spans="1:30" ht="101.25" customHeight="1" x14ac:dyDescent="0.25">
      <c r="A25" s="60" t="s">
        <v>163</v>
      </c>
      <c r="B25" s="60" t="s">
        <v>147</v>
      </c>
      <c r="C25" s="60" t="s">
        <v>132</v>
      </c>
      <c r="D25" s="60" t="s">
        <v>36</v>
      </c>
      <c r="E25" s="60" t="s">
        <v>36</v>
      </c>
      <c r="F25" s="98">
        <f>+'Plan de Adquisiciones '!F52</f>
        <v>0</v>
      </c>
      <c r="G25" s="98"/>
      <c r="H25" s="98"/>
      <c r="I25" s="98" t="str">
        <f>+'Plan de Adquisiciones '!I52</f>
        <v>Prestación de servicios profesionales para el desarrollo, ajuste, monitoreo a la aplicación, análisis e interpretación de resultados de instrumentos cualitativos complementarios del estudio de elaboración y aplicación de un sistema de monitoreo al cumplimiento de los estándares de calidad en Educación Inicial, en el marco del Convenio 1452 de 2017 en su componente 3.</v>
      </c>
      <c r="J25" s="98">
        <f>+'Plan de Adquisiciones '!J52</f>
        <v>80111601</v>
      </c>
      <c r="K25" s="98" t="str">
        <f>+'Plan de Adquisiciones '!K52</f>
        <v>Asesor 105-03</v>
      </c>
      <c r="L25" s="98" t="str">
        <f>+'Plan de Adquisiciones '!L52</f>
        <v>Martha Cuevas</v>
      </c>
      <c r="M25" s="97" t="str">
        <f>+'Plan de Adquisiciones '!N44</f>
        <v>Mayo</v>
      </c>
      <c r="N25" s="98">
        <f>+'Plan de Adquisiciones '!O52</f>
        <v>7</v>
      </c>
      <c r="O25" s="98" t="str">
        <f>+'Plan de Adquisiciones '!P52</f>
        <v xml:space="preserve"> Contratación Directa</v>
      </c>
      <c r="P25" s="98" t="str">
        <f>+'Plan de Adquisiciones '!Q52</f>
        <v>Directa</v>
      </c>
      <c r="Q25" s="107">
        <f>+'Plan de Adquisiciones '!R52</f>
        <v>0</v>
      </c>
      <c r="R25" s="107">
        <f>+'Plan de Adquisiciones '!S52</f>
        <v>46476171</v>
      </c>
      <c r="S25" s="107">
        <f>+'Plan de Adquisiciones '!T52</f>
        <v>46476171</v>
      </c>
      <c r="T25" s="98">
        <f>+'Plan de Adquisiciones '!U52</f>
        <v>1</v>
      </c>
      <c r="U25" s="107">
        <f>+'Plan de Adquisiciones '!V52</f>
        <v>0</v>
      </c>
      <c r="V25" s="107">
        <f>+'Plan de Adquisiciones '!W52</f>
        <v>46476171</v>
      </c>
      <c r="W25" s="107">
        <f>+'Plan de Adquisiciones '!X52</f>
        <v>46476171</v>
      </c>
      <c r="X25" s="106">
        <f>+'Plan de Adquisiciones '!Y52</f>
        <v>42851</v>
      </c>
      <c r="Y25" s="98">
        <f>+'Plan de Adquisiciones '!Z52</f>
        <v>61</v>
      </c>
      <c r="Z25" s="108" t="str">
        <f>+'Plan de Adquisiciones '!AA52</f>
        <v>ADRIANA CASTRO ROJAS</v>
      </c>
      <c r="AA25" s="100">
        <f>+'Plan de Adquisiciones '!AB52</f>
        <v>33197265</v>
      </c>
    </row>
    <row r="26" spans="1:30" ht="135" x14ac:dyDescent="0.25">
      <c r="A26" s="60" t="s">
        <v>163</v>
      </c>
      <c r="B26" s="60" t="s">
        <v>147</v>
      </c>
      <c r="C26" s="60" t="s">
        <v>132</v>
      </c>
      <c r="D26" s="60" t="s">
        <v>36</v>
      </c>
      <c r="E26" s="60" t="s">
        <v>36</v>
      </c>
      <c r="F26" s="98">
        <f>+'Plan de Adquisiciones '!F53</f>
        <v>0</v>
      </c>
      <c r="G26" s="98">
        <f>+'Plan de Adquisiciones '!G53</f>
        <v>215</v>
      </c>
      <c r="H26" s="98">
        <f>+'Plan de Adquisiciones '!H53</f>
        <v>0</v>
      </c>
      <c r="I26" s="98" t="str">
        <f>+'Plan de Adquisiciones '!I53</f>
        <v>Prestación de servicios profesionales para elaborar, implementar, evaluar y validar las estrategias operativa, comunicativa y de movilización social del estudio de elaboración y aplicación de un sistema de monitoreo al cumplimiento de los estándares de calidad en Educación Inicial, en el marco del Convenio 1452 de 2017 en su componente 3.</v>
      </c>
      <c r="J26" s="98">
        <f>+'Plan de Adquisiciones '!J53</f>
        <v>80111601</v>
      </c>
      <c r="K26" s="98" t="str">
        <f>+'Plan de Adquisiciones '!K53</f>
        <v>Asesor 105-03</v>
      </c>
      <c r="L26" s="98" t="str">
        <f>+'Plan de Adquisiciones '!L53</f>
        <v>Martha Cuevas</v>
      </c>
      <c r="M26" s="97" t="str">
        <f>+'Plan de Adquisiciones '!N45</f>
        <v>Mayo</v>
      </c>
      <c r="N26" s="98">
        <f>+'Plan de Adquisiciones '!O53</f>
        <v>7</v>
      </c>
      <c r="O26" s="98" t="str">
        <f>+'Plan de Adquisiciones '!P53</f>
        <v xml:space="preserve"> Contratación Directa</v>
      </c>
      <c r="P26" s="98" t="str">
        <f>+'Plan de Adquisiciones '!Q53</f>
        <v>Directa</v>
      </c>
      <c r="Q26" s="107">
        <f>+'Plan de Adquisiciones '!R53</f>
        <v>0</v>
      </c>
      <c r="R26" s="107">
        <f>+'Plan de Adquisiciones '!S53</f>
        <v>46476171</v>
      </c>
      <c r="S26" s="107">
        <f>+'Plan de Adquisiciones '!T53</f>
        <v>46476171</v>
      </c>
      <c r="T26" s="98">
        <f>+'Plan de Adquisiciones '!U53</f>
        <v>1</v>
      </c>
      <c r="U26" s="107">
        <f>+'Plan de Adquisiciones '!V53</f>
        <v>0</v>
      </c>
      <c r="V26" s="107">
        <f>+'Plan de Adquisiciones '!W53</f>
        <v>46476171</v>
      </c>
      <c r="W26" s="107">
        <f>+'Plan de Adquisiciones '!X53</f>
        <v>46476171</v>
      </c>
      <c r="X26" s="106">
        <f>+'Plan de Adquisiciones '!Y53</f>
        <v>42852</v>
      </c>
      <c r="Y26" s="98">
        <f>+'Plan de Adquisiciones '!Z53</f>
        <v>65</v>
      </c>
      <c r="Z26" s="108" t="str">
        <f>+'Plan de Adquisiciones '!AA53</f>
        <v>ADRIANA MOLANO VARGAS</v>
      </c>
      <c r="AA26" s="100">
        <f>+'Plan de Adquisiciones '!AB53</f>
        <v>33197265</v>
      </c>
    </row>
    <row r="27" spans="1:30" ht="77.25" customHeight="1" x14ac:dyDescent="0.25">
      <c r="A27" s="60" t="s">
        <v>163</v>
      </c>
      <c r="B27" s="60" t="s">
        <v>147</v>
      </c>
      <c r="C27" s="60" t="s">
        <v>132</v>
      </c>
      <c r="D27" s="60" t="s">
        <v>36</v>
      </c>
      <c r="E27" s="60" t="s">
        <v>36</v>
      </c>
      <c r="F27" s="98">
        <f>+'Plan de Adquisiciones '!F54</f>
        <v>0</v>
      </c>
      <c r="G27" s="98">
        <f>+'Plan de Adquisiciones '!G54</f>
        <v>216</v>
      </c>
      <c r="H27" s="98">
        <f>+'Plan de Adquisiciones '!H54</f>
        <v>0</v>
      </c>
      <c r="I27" s="98" t="str">
        <f>+'Plan de Adquisiciones '!I54</f>
        <v>Prestación de servicios profesionales para preparar, implementar y evaluar la estrategia de gestión de la información y del conocimiento del estudio de elaboración y aplicación de un sistema de monitoreo al cumplimiento de los estándares de calidad en Educación Inicial en el marco del Convenio 1452 del 17 de marzo de 2017 en su componente 3.</v>
      </c>
      <c r="J27" s="98">
        <f>+'Plan de Adquisiciones '!J54</f>
        <v>80111601</v>
      </c>
      <c r="K27" s="98" t="str">
        <f>+'Plan de Adquisiciones '!K54</f>
        <v>Asesor 105-03</v>
      </c>
      <c r="L27" s="98" t="str">
        <f>+'Plan de Adquisiciones '!L54</f>
        <v>Martha Cuevas</v>
      </c>
      <c r="M27" s="97" t="str">
        <f>+'Plan de Adquisiciones '!N46</f>
        <v>Mayo</v>
      </c>
      <c r="N27" s="98">
        <f>+'Plan de Adquisiciones '!O54</f>
        <v>7</v>
      </c>
      <c r="O27" s="98" t="str">
        <f>+'Plan de Adquisiciones '!P54</f>
        <v xml:space="preserve"> Contratación Directa</v>
      </c>
      <c r="P27" s="98" t="str">
        <f>+'Plan de Adquisiciones '!Q54</f>
        <v>Directa</v>
      </c>
      <c r="Q27" s="107">
        <f>+'Plan de Adquisiciones '!R54</f>
        <v>0</v>
      </c>
      <c r="R27" s="107">
        <f>+'Plan de Adquisiciones '!S54</f>
        <v>46476171</v>
      </c>
      <c r="S27" s="107">
        <f>+'Plan de Adquisiciones '!T54</f>
        <v>46476171</v>
      </c>
      <c r="T27" s="98">
        <f>+'Plan de Adquisiciones '!U54</f>
        <v>1</v>
      </c>
      <c r="U27" s="107">
        <f>+'Plan de Adquisiciones '!V54</f>
        <v>0</v>
      </c>
      <c r="V27" s="107">
        <f>+'Plan de Adquisiciones '!W54</f>
        <v>46476171</v>
      </c>
      <c r="W27" s="107">
        <f>+'Plan de Adquisiciones '!X54</f>
        <v>46476171</v>
      </c>
      <c r="X27" s="106">
        <f>+'Plan de Adquisiciones '!Y54</f>
        <v>42852</v>
      </c>
      <c r="Y27" s="98">
        <f>+'Plan de Adquisiciones '!Z54</f>
        <v>67</v>
      </c>
      <c r="Z27" s="108" t="str">
        <f>+'Plan de Adquisiciones '!AA54</f>
        <v>RAFAEL CANO RAMIREZ</v>
      </c>
      <c r="AA27" s="100">
        <f>+'Plan de Adquisiciones '!AB54</f>
        <v>33197265</v>
      </c>
    </row>
    <row r="28" spans="1:30" ht="101.25" customHeight="1" x14ac:dyDescent="0.25">
      <c r="A28" s="60" t="s">
        <v>163</v>
      </c>
      <c r="B28" s="60" t="s">
        <v>147</v>
      </c>
      <c r="C28" s="60" t="s">
        <v>132</v>
      </c>
      <c r="D28" s="60" t="s">
        <v>36</v>
      </c>
      <c r="E28" s="60" t="s">
        <v>36</v>
      </c>
      <c r="F28" s="98">
        <f>+'Plan de Adquisiciones '!F55</f>
        <v>0</v>
      </c>
      <c r="G28" s="98">
        <f>+'Plan de Adquisiciones '!G55</f>
        <v>217</v>
      </c>
      <c r="H28" s="98">
        <f>+'Plan de Adquisiciones '!H55</f>
        <v>0</v>
      </c>
      <c r="I28" s="98" t="str">
        <f>+'Plan de Adquisiciones '!I55</f>
        <v>Prestación de servicios profesionales para apoyar en la gestión administrativa del estudio de elaboración y aplicación de un sistema de monitoreo al cumplimiento de los estándares de calidad en Educación Inicial, en el marco del Convenio 1452 de 2017 en su componente 3</v>
      </c>
      <c r="J28" s="98">
        <f>+'Plan de Adquisiciones '!J55</f>
        <v>80111601</v>
      </c>
      <c r="K28" s="98" t="str">
        <f>+'Plan de Adquisiciones '!K55</f>
        <v>Asesor 105-03</v>
      </c>
      <c r="L28" s="98" t="str">
        <f>+'Plan de Adquisiciones '!L55</f>
        <v>Martha Cuevas</v>
      </c>
      <c r="M28" s="97" t="str">
        <f>+'Plan de Adquisiciones '!N47</f>
        <v>Abril</v>
      </c>
      <c r="N28" s="98">
        <f>+'Plan de Adquisiciones '!O55</f>
        <v>8</v>
      </c>
      <c r="O28" s="98" t="str">
        <f>+'Plan de Adquisiciones '!P55</f>
        <v xml:space="preserve"> Contratación Directa</v>
      </c>
      <c r="P28" s="98" t="str">
        <f>+'Plan de Adquisiciones '!Q55</f>
        <v>Directa</v>
      </c>
      <c r="Q28" s="107">
        <f>+'Plan de Adquisiciones '!R55</f>
        <v>0</v>
      </c>
      <c r="R28" s="107">
        <f>+'Plan de Adquisiciones '!S55</f>
        <v>28770963</v>
      </c>
      <c r="S28" s="107">
        <f>+'Plan de Adquisiciones '!T55</f>
        <v>28770963</v>
      </c>
      <c r="T28" s="98">
        <f>+'Plan de Adquisiciones '!U55</f>
        <v>1</v>
      </c>
      <c r="U28" s="107">
        <f>+'Plan de Adquisiciones '!V55</f>
        <v>0</v>
      </c>
      <c r="V28" s="107">
        <f>+'Plan de Adquisiciones '!W55</f>
        <v>28770963</v>
      </c>
      <c r="W28" s="107">
        <f>+'Plan de Adquisiciones '!X55</f>
        <v>28770963</v>
      </c>
      <c r="X28" s="106">
        <f>+'Plan de Adquisiciones '!Y55</f>
        <v>42844</v>
      </c>
      <c r="Y28" s="98">
        <f>+'Plan de Adquisiciones '!Z55</f>
        <v>47</v>
      </c>
      <c r="Z28" s="108" t="str">
        <f>+'Plan de Adquisiciones '!AA55</f>
        <v>JOHN RINCON HOLGUIN</v>
      </c>
    </row>
    <row r="29" spans="1:30" ht="135" x14ac:dyDescent="0.25">
      <c r="A29" s="60" t="s">
        <v>163</v>
      </c>
      <c r="B29" s="60" t="s">
        <v>147</v>
      </c>
      <c r="C29" s="60" t="s">
        <v>132</v>
      </c>
      <c r="D29" s="60" t="s">
        <v>36</v>
      </c>
      <c r="E29" s="60" t="s">
        <v>36</v>
      </c>
      <c r="F29" s="98">
        <f>+'Plan de Adquisiciones '!F56</f>
        <v>0</v>
      </c>
      <c r="G29" s="98">
        <f>+'Plan de Adquisiciones '!G56</f>
        <v>281</v>
      </c>
      <c r="H29" s="98">
        <f>+'Plan de Adquisiciones '!H56</f>
        <v>0</v>
      </c>
      <c r="I29" s="98" t="str">
        <f>+'Plan de Adquisiciones '!I56</f>
        <v>Prestación de servicios profesionales para apoyar los procesos académicos relacionados con la indagación cualitativa y cuantitativa y la construcción de los planes de mejora de un sistema de monitoreo al cumplimiento de los estándares de calidad en Educación Inicial, en el marco del Convenio 1452 de 2017 en su componente 3.</v>
      </c>
      <c r="J29" s="98">
        <f>+'Plan de Adquisiciones '!J56</f>
        <v>80111601</v>
      </c>
      <c r="K29" s="98" t="str">
        <f>+'Plan de Adquisiciones '!K56</f>
        <v>Asesor 105-03</v>
      </c>
      <c r="L29" s="98" t="str">
        <f>+'Plan de Adquisiciones '!L56</f>
        <v>Martha Cuevas</v>
      </c>
      <c r="M29" s="98" t="str">
        <f>+'Plan de Adquisiciones '!N56</f>
        <v>Junio</v>
      </c>
      <c r="N29" s="98">
        <f>+'Plan de Adquisiciones '!O56</f>
        <v>6</v>
      </c>
      <c r="O29" s="98" t="str">
        <f>+'Plan de Adquisiciones '!P56</f>
        <v xml:space="preserve"> Contratación Directa</v>
      </c>
      <c r="P29" s="98" t="str">
        <f>+'Plan de Adquisiciones '!Q56</f>
        <v>Directa</v>
      </c>
      <c r="Q29" s="107">
        <f>+'Plan de Adquisiciones '!R56</f>
        <v>0</v>
      </c>
      <c r="R29" s="107">
        <f>+'Plan de Adquisiciones '!S56</f>
        <v>200000000</v>
      </c>
      <c r="S29" s="107">
        <f>+'Plan de Adquisiciones '!T56</f>
        <v>200000000</v>
      </c>
      <c r="T29" s="98">
        <f>+'Plan de Adquisiciones '!U56</f>
        <v>0</v>
      </c>
      <c r="U29" s="107">
        <f>+'Plan de Adquisiciones '!V56</f>
        <v>0</v>
      </c>
      <c r="V29" s="107">
        <f>+'Plan de Adquisiciones '!W56</f>
        <v>200000000</v>
      </c>
      <c r="W29" s="107">
        <f>+'Plan de Adquisiciones '!X56</f>
        <v>200000000</v>
      </c>
      <c r="X29" s="106"/>
      <c r="Y29" s="98">
        <f>+'Plan de Adquisiciones '!Z56</f>
        <v>92</v>
      </c>
      <c r="Z29" s="108" t="str">
        <f>+'Plan de Adquisiciones '!AA56</f>
        <v>E-VALUAR</v>
      </c>
      <c r="AA29" s="100">
        <f>+'Plan de Adquisiciones '!AB56</f>
        <v>140000000</v>
      </c>
    </row>
    <row r="30" spans="1:30" ht="146.25" x14ac:dyDescent="0.25">
      <c r="A30" s="60" t="s">
        <v>163</v>
      </c>
      <c r="B30" s="60" t="s">
        <v>147</v>
      </c>
      <c r="C30" s="60" t="s">
        <v>132</v>
      </c>
      <c r="D30" s="60" t="s">
        <v>36</v>
      </c>
      <c r="E30" s="60" t="s">
        <v>36</v>
      </c>
      <c r="F30" s="98">
        <f>+'Plan de Adquisiciones '!F57</f>
        <v>0</v>
      </c>
      <c r="G30" s="98">
        <f>+'Plan de Adquisiciones '!G57</f>
        <v>246</v>
      </c>
      <c r="H30" s="98">
        <f>+'Plan de Adquisiciones '!H57</f>
        <v>0</v>
      </c>
      <c r="I30" s="98" t="str">
        <f>+'Plan de Adquisiciones '!I57</f>
        <v>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v>
      </c>
      <c r="J30" s="98">
        <f>+'Plan de Adquisiciones '!J57</f>
        <v>80111601</v>
      </c>
      <c r="K30" s="98" t="str">
        <f>+'Plan de Adquisiciones '!K57</f>
        <v>Asesor 105-02</v>
      </c>
      <c r="L30" s="98" t="str">
        <f>+'Plan de Adquisiciones '!L57</f>
        <v>María Isabel Ramírez</v>
      </c>
      <c r="M30" s="98" t="str">
        <f>+'Plan de Adquisiciones '!N57</f>
        <v>Mayo</v>
      </c>
      <c r="N30" s="98">
        <f>+'Plan de Adquisiciones '!O57</f>
        <v>7</v>
      </c>
      <c r="O30" s="98" t="str">
        <f>+'Plan de Adquisiciones '!P57</f>
        <v xml:space="preserve"> Contratación Directa</v>
      </c>
      <c r="P30" s="98" t="str">
        <f>+'Plan de Adquisiciones '!Q57</f>
        <v>Directa</v>
      </c>
      <c r="Q30" s="107">
        <f>+'Plan de Adquisiciones '!R57</f>
        <v>0</v>
      </c>
      <c r="R30" s="107">
        <f>+'Plan de Adquisiciones '!S57</f>
        <v>18405257</v>
      </c>
      <c r="S30" s="107">
        <f>+'Plan de Adquisiciones '!T57</f>
        <v>18405257</v>
      </c>
      <c r="T30" s="98">
        <f>+'Plan de Adquisiciones '!U57</f>
        <v>0</v>
      </c>
      <c r="U30" s="107">
        <f>+'Plan de Adquisiciones '!V57</f>
        <v>0</v>
      </c>
      <c r="V30" s="107">
        <f>+'Plan de Adquisiciones '!W57</f>
        <v>18405257</v>
      </c>
      <c r="W30" s="107">
        <f>+'Plan de Adquisiciones '!X57</f>
        <v>18405257</v>
      </c>
      <c r="X30" s="106"/>
      <c r="Y30" s="98">
        <f>+'Plan de Adquisiciones '!Z57</f>
        <v>82</v>
      </c>
      <c r="Z30" s="108" t="str">
        <f>+'Plan de Adquisiciones '!AA57</f>
        <v>CORPORACION MIXTA PARA LA INVESTIGACION Y DESARROLLO DE LA EDUCACION - CORPOEDUCACION</v>
      </c>
    </row>
    <row r="31" spans="1:30" ht="56.25" x14ac:dyDescent="0.25">
      <c r="A31" s="59" t="s">
        <v>163</v>
      </c>
      <c r="B31" s="59" t="str">
        <f>+B14</f>
        <v>Codigo 383 
Un sistema de seguimiento a la Política Educativa Distrital en los contestos Escolare Ajustado e Implementado</v>
      </c>
      <c r="C31" s="59" t="str">
        <f>+C14</f>
        <v>Componente No.1 "Sistema de Seguimiento a la política educativa distrital en los contextos escolares."</v>
      </c>
      <c r="D31" s="59" t="s">
        <v>128</v>
      </c>
      <c r="E31" s="59" t="s">
        <v>128</v>
      </c>
      <c r="F31" s="98" t="str">
        <f>+'Plan de Adquisiciones '!F60</f>
        <v>Proyectos Editoriales. Componente 1</v>
      </c>
      <c r="G31" s="98">
        <f>+'Plan de Adquisiciones '!G60</f>
        <v>139</v>
      </c>
      <c r="H31" s="98">
        <f>+'Plan de Adquisiciones '!H60</f>
        <v>0</v>
      </c>
      <c r="I31" s="98" t="str">
        <f>+'Plan de Adquisiciones '!I60</f>
        <v>Prestación de servicios para realizar la edición, el diseño y la diagramación de la Revista Educación y Ciudad.</v>
      </c>
      <c r="J31" s="98">
        <f>+'Plan de Adquisiciones '!J60</f>
        <v>82111801</v>
      </c>
      <c r="K31" s="98" t="str">
        <f>+'Plan de Adquisiciones '!K60</f>
        <v>Profesional 222-05</v>
      </c>
      <c r="L31" s="98" t="str">
        <f>+'Plan de Adquisiciones '!L60</f>
        <v>Diana Prada</v>
      </c>
      <c r="M31" s="98" t="str">
        <f>+'Plan de Adquisiciones '!N60</f>
        <v>Marzo</v>
      </c>
      <c r="N31" s="98">
        <f>+'Plan de Adquisiciones '!O60</f>
        <v>9</v>
      </c>
      <c r="O31" s="98" t="str">
        <f>+'Plan de Adquisiciones '!P60</f>
        <v xml:space="preserve"> Contratación Directa</v>
      </c>
      <c r="P31" s="98" t="str">
        <f>+'Plan de Adquisiciones '!Q60</f>
        <v>Directa</v>
      </c>
      <c r="Q31" s="107">
        <f>+'Plan de Adquisiciones '!R60</f>
        <v>25150000</v>
      </c>
      <c r="R31" s="107">
        <f>+'Plan de Adquisiciones '!S60</f>
        <v>0</v>
      </c>
      <c r="S31" s="107">
        <f>+'Plan de Adquisiciones '!T60</f>
        <v>25150000</v>
      </c>
      <c r="T31" s="98">
        <f>+'Plan de Adquisiciones '!U60</f>
        <v>1</v>
      </c>
      <c r="U31" s="107">
        <f>+'Plan de Adquisiciones '!V60</f>
        <v>25150000</v>
      </c>
      <c r="V31" s="107">
        <f>+'Plan de Adquisiciones '!W60</f>
        <v>0</v>
      </c>
      <c r="W31" s="107">
        <f>+'Plan de Adquisiciones '!X60</f>
        <v>25150000</v>
      </c>
      <c r="X31" s="106">
        <f>+'Plan de Adquisiciones '!Y60</f>
        <v>42803</v>
      </c>
      <c r="Y31" s="98">
        <f>+'Plan de Adquisiciones '!Z60</f>
        <v>30</v>
      </c>
      <c r="Z31" s="108" t="str">
        <f>+'Plan de Adquisiciones '!AA60</f>
        <v>EDITORIAL MAGISTERIO</v>
      </c>
    </row>
    <row r="32" spans="1:30" ht="56.25" x14ac:dyDescent="0.25">
      <c r="A32" s="59" t="s">
        <v>163</v>
      </c>
      <c r="B32" s="59" t="s">
        <v>147</v>
      </c>
      <c r="C32" s="59" t="s">
        <v>132</v>
      </c>
      <c r="D32" s="59" t="s">
        <v>128</v>
      </c>
      <c r="E32" s="59" t="s">
        <v>128</v>
      </c>
      <c r="F32" s="98">
        <f>+'Plan de Adquisiciones '!F61</f>
        <v>0</v>
      </c>
      <c r="G32" s="98">
        <f>+'Plan de Adquisiciones '!G61</f>
        <v>136</v>
      </c>
      <c r="H32" s="98">
        <f>+'Plan de Adquisiciones '!H61</f>
        <v>0</v>
      </c>
      <c r="I32" s="98" t="str">
        <f>+'Plan de Adquisiciones '!I61</f>
        <v>Prestación de servicios profesionales para realizar la edición del magazín "Aula Urbana".</v>
      </c>
      <c r="J32" s="98">
        <f>+'Plan de Adquisiciones '!J61</f>
        <v>82111801</v>
      </c>
      <c r="K32" s="98" t="str">
        <f>+'Plan de Adquisiciones '!K61</f>
        <v>Profesional 222-05</v>
      </c>
      <c r="L32" s="98" t="str">
        <f>+'Plan de Adquisiciones '!L61</f>
        <v>Diana Prada</v>
      </c>
      <c r="M32" s="98" t="str">
        <f>+'Plan de Adquisiciones '!N61</f>
        <v>Febrero</v>
      </c>
      <c r="N32" s="98">
        <f>+'Plan de Adquisiciones '!O61</f>
        <v>9</v>
      </c>
      <c r="O32" s="98" t="str">
        <f>+'Plan de Adquisiciones '!P61</f>
        <v xml:space="preserve"> Contratación Directa</v>
      </c>
      <c r="P32" s="98" t="str">
        <f>+'Plan de Adquisiciones '!Q61</f>
        <v>Directa</v>
      </c>
      <c r="Q32" s="107">
        <f>+'Plan de Adquisiciones '!R61</f>
        <v>11035738</v>
      </c>
      <c r="R32" s="107">
        <f>+'Plan de Adquisiciones '!S61</f>
        <v>0</v>
      </c>
      <c r="S32" s="107">
        <f>+'Plan de Adquisiciones '!T61</f>
        <v>11035738</v>
      </c>
      <c r="T32" s="98">
        <f>+'Plan de Adquisiciones '!U61</f>
        <v>1</v>
      </c>
      <c r="U32" s="107">
        <f>+'Plan de Adquisiciones '!V61</f>
        <v>11035738</v>
      </c>
      <c r="V32" s="107">
        <f>+'Plan de Adquisiciones '!W61</f>
        <v>0</v>
      </c>
      <c r="W32" s="107">
        <f>+'Plan de Adquisiciones '!X61</f>
        <v>11035738</v>
      </c>
      <c r="X32" s="106">
        <f>+'Plan de Adquisiciones '!Y61</f>
        <v>42794</v>
      </c>
      <c r="Y32" s="98">
        <f>+'Plan de Adquisiciones '!Z61</f>
        <v>12</v>
      </c>
      <c r="Z32" s="108" t="str">
        <f>+'Plan de Adquisiciones '!AA61</f>
        <v>JAVIER VARGAS ACOSTA</v>
      </c>
    </row>
    <row r="33" spans="1:97" ht="56.25" x14ac:dyDescent="0.25">
      <c r="A33" s="59" t="s">
        <v>163</v>
      </c>
      <c r="B33" s="59" t="s">
        <v>147</v>
      </c>
      <c r="C33" s="59" t="s">
        <v>132</v>
      </c>
      <c r="D33" s="59" t="s">
        <v>128</v>
      </c>
      <c r="E33" s="59" t="s">
        <v>128</v>
      </c>
      <c r="F33" s="98">
        <f>+'Plan de Adquisiciones '!F62</f>
        <v>0</v>
      </c>
      <c r="G33" s="98">
        <f>+'Plan de Adquisiciones '!G62</f>
        <v>170</v>
      </c>
      <c r="H33" s="98">
        <f>+'Plan de Adquisiciones '!H62</f>
        <v>0</v>
      </c>
      <c r="I33" s="98" t="str">
        <f>+'Plan de Adquisiciones '!I62</f>
        <v>Prestación de servicios  para realizar el diseño y la diagramación del magazín "Aula Urbana".</v>
      </c>
      <c r="J33" s="98">
        <f>+'Plan de Adquisiciones '!J62</f>
        <v>82111801</v>
      </c>
      <c r="K33" s="98" t="str">
        <f>+'Plan de Adquisiciones '!K62</f>
        <v>Profesional 222-05</v>
      </c>
      <c r="L33" s="98" t="str">
        <f>+'Plan de Adquisiciones '!L62</f>
        <v>Diana Prada</v>
      </c>
      <c r="M33" s="98" t="str">
        <f>+'Plan de Adquisiciones '!N62</f>
        <v>Febrero</v>
      </c>
      <c r="N33" s="98">
        <f>+'Plan de Adquisiciones '!O62</f>
        <v>10</v>
      </c>
      <c r="O33" s="98" t="str">
        <f>+'Plan de Adquisiciones '!P62</f>
        <v xml:space="preserve"> Contratación Directa</v>
      </c>
      <c r="P33" s="98" t="str">
        <f>+'Plan de Adquisiciones '!Q62</f>
        <v>Directa</v>
      </c>
      <c r="Q33" s="107">
        <f>+'Plan de Adquisiciones '!R62</f>
        <v>7734262</v>
      </c>
      <c r="R33" s="107">
        <f>+'Plan de Adquisiciones '!S62</f>
        <v>0</v>
      </c>
      <c r="S33" s="107">
        <f>+'Plan de Adquisiciones '!T62</f>
        <v>7734262</v>
      </c>
      <c r="T33" s="98">
        <f>+'Plan de Adquisiciones '!U62</f>
        <v>1</v>
      </c>
      <c r="U33" s="107">
        <f>+'Plan de Adquisiciones '!V62</f>
        <v>7734262</v>
      </c>
      <c r="V33" s="107">
        <f>+'Plan de Adquisiciones '!W62</f>
        <v>0</v>
      </c>
      <c r="W33" s="107">
        <f>+'Plan de Adquisiciones '!X62</f>
        <v>7734262</v>
      </c>
      <c r="X33" s="106">
        <f>+'Plan de Adquisiciones '!Y62</f>
        <v>42804</v>
      </c>
      <c r="Y33" s="98">
        <f>+'Plan de Adquisiciones '!Z62</f>
        <v>32</v>
      </c>
      <c r="Z33" s="108" t="str">
        <f>+'Plan de Adquisiciones '!AA62</f>
        <v>ANDREA SARMIENTO BOHORQUEZ</v>
      </c>
    </row>
    <row r="34" spans="1:97" ht="56.25" x14ac:dyDescent="0.25">
      <c r="A34" s="59" t="s">
        <v>163</v>
      </c>
      <c r="B34" s="59" t="s">
        <v>147</v>
      </c>
      <c r="C34" s="59" t="s">
        <v>132</v>
      </c>
      <c r="D34" s="59" t="s">
        <v>128</v>
      </c>
      <c r="E34" s="59" t="s">
        <v>128</v>
      </c>
      <c r="F34" s="98">
        <f>+'Plan de Adquisiciones '!F63</f>
        <v>0</v>
      </c>
      <c r="G34" s="98">
        <f>+'Plan de Adquisiciones '!G63</f>
        <v>138</v>
      </c>
      <c r="H34" s="98">
        <f>+'Plan de Adquisiciones '!H63</f>
        <v>0</v>
      </c>
      <c r="I34" s="98" t="str">
        <f>+'Plan de Adquisiciones '!I63</f>
        <v xml:space="preserve">Prestación de servicios para realizar la edición, el diseño y la diagramación de libros de la serie editorial del  IDEP. </v>
      </c>
      <c r="J34" s="98">
        <f>+'Plan de Adquisiciones '!J63</f>
        <v>82111801</v>
      </c>
      <c r="K34" s="98" t="str">
        <f>+'Plan de Adquisiciones '!K63</f>
        <v>Profesional 222-05</v>
      </c>
      <c r="L34" s="98" t="str">
        <f>+'Plan de Adquisiciones '!L63</f>
        <v>Diana Prada</v>
      </c>
      <c r="M34" s="98" t="str">
        <f>+'Plan de Adquisiciones '!N63</f>
        <v>Mayo</v>
      </c>
      <c r="N34" s="98">
        <f>+'Plan de Adquisiciones '!O63</f>
        <v>7</v>
      </c>
      <c r="O34" s="98" t="str">
        <f>+'Plan de Adquisiciones '!P63</f>
        <v xml:space="preserve"> Contratación Directa</v>
      </c>
      <c r="P34" s="98" t="str">
        <f>+'Plan de Adquisiciones '!Q63</f>
        <v>Directa</v>
      </c>
      <c r="Q34" s="107">
        <f>+'Plan de Adquisiciones '!R63</f>
        <v>17040000</v>
      </c>
      <c r="R34" s="107">
        <f>+'Plan de Adquisiciones '!S63</f>
        <v>0</v>
      </c>
      <c r="S34" s="107">
        <f>+'Plan de Adquisiciones '!T63</f>
        <v>17040000</v>
      </c>
      <c r="T34" s="98">
        <f>+'Plan de Adquisiciones '!U63</f>
        <v>1</v>
      </c>
      <c r="U34" s="107">
        <f>+'Plan de Adquisiciones '!V63</f>
        <v>17040000</v>
      </c>
      <c r="V34" s="107">
        <f>+'Plan de Adquisiciones '!W63</f>
        <v>0</v>
      </c>
      <c r="W34" s="107">
        <f>+'Plan de Adquisiciones '!X63</f>
        <v>17040000</v>
      </c>
      <c r="X34" s="106">
        <f>+'Plan de Adquisiciones '!Y63</f>
        <v>42860</v>
      </c>
      <c r="Y34" s="98">
        <f>+'Plan de Adquisiciones '!Z63</f>
        <v>72</v>
      </c>
      <c r="Z34" s="108" t="str">
        <f>+'Plan de Adquisiciones '!AA63</f>
        <v>TALLER DE EDICIÓN ROCCA S.A.</v>
      </c>
    </row>
    <row r="35" spans="1:97" ht="56.25" x14ac:dyDescent="0.25">
      <c r="A35" s="59" t="s">
        <v>163</v>
      </c>
      <c r="B35" s="59" t="str">
        <f>+B16</f>
        <v>Codigo 383 
Un sistema de seguimiento a la Política Educativa Distrital en los contestos Escolare Ajustado e Implementado</v>
      </c>
      <c r="C35" s="59" t="str">
        <f>+C16</f>
        <v>Componente No.1 "Sistema de Seguimiento a la política educativa distrital en los contextos escolares."</v>
      </c>
      <c r="D35" s="59" t="s">
        <v>128</v>
      </c>
      <c r="E35" s="59" t="s">
        <v>128</v>
      </c>
      <c r="F35" s="98">
        <f>+'Plan de Adquisiciones '!F64</f>
        <v>0</v>
      </c>
      <c r="G35" s="98">
        <f>+'Plan de Adquisiciones '!G64</f>
        <v>183</v>
      </c>
      <c r="H35" s="98">
        <f>+'Plan de Adquisiciones '!H64</f>
        <v>0</v>
      </c>
      <c r="I35" s="98" t="str">
        <f>+'Plan de Adquisiciones '!I64</f>
        <v>Prestación de servicios para la impresión de publicaciones del Instituto para la Investigación Educativa y el Desarrollo Pedagógico, IDEP</v>
      </c>
      <c r="J35" s="98">
        <f>+'Plan de Adquisiciones '!J64</f>
        <v>82111801</v>
      </c>
      <c r="K35" s="98" t="str">
        <f>+'Plan de Adquisiciones '!K64</f>
        <v>Profesional 222-05</v>
      </c>
      <c r="L35" s="98" t="str">
        <f>+'Plan de Adquisiciones '!L64</f>
        <v>Diana Prada</v>
      </c>
      <c r="M35" s="98" t="str">
        <f>+'Plan de Adquisiciones '!N64</f>
        <v>Mayo</v>
      </c>
      <c r="N35" s="98">
        <f>+'Plan de Adquisiciones '!O64</f>
        <v>9</v>
      </c>
      <c r="O35" s="98" t="str">
        <f>+'Plan de Adquisiciones '!P64</f>
        <v>Selección Abreviada -Subasta inversa</v>
      </c>
      <c r="P35" s="98" t="str">
        <f>+'Plan de Adquisiciones '!Q64</f>
        <v>Selección Abreviada -Subasta inversa</v>
      </c>
      <c r="Q35" s="107">
        <f>+'Plan de Adquisiciones '!R64</f>
        <v>26155250</v>
      </c>
      <c r="R35" s="107">
        <f>+'Plan de Adquisiciones '!S64</f>
        <v>0</v>
      </c>
      <c r="S35" s="107">
        <f>+'Plan de Adquisiciones '!T64</f>
        <v>26155250</v>
      </c>
      <c r="T35" s="98">
        <f>+'Plan de Adquisiciones '!U64</f>
        <v>1</v>
      </c>
      <c r="U35" s="107">
        <f>+'Plan de Adquisiciones '!V64</f>
        <v>26155250</v>
      </c>
      <c r="V35" s="107">
        <f>+'Plan de Adquisiciones '!W64</f>
        <v>0</v>
      </c>
      <c r="W35" s="107">
        <f>+'Plan de Adquisiciones '!X64</f>
        <v>26155250</v>
      </c>
      <c r="X35" s="106"/>
      <c r="Y35" s="98">
        <f>+'Plan de Adquisiciones '!Z64</f>
        <v>87</v>
      </c>
      <c r="Z35" s="108" t="str">
        <f>+'Plan de Adquisiciones '!AA64</f>
        <v>CI WARRIORS COMPANY S.A.S.</v>
      </c>
    </row>
    <row r="36" spans="1:97" ht="45.75" customHeight="1" x14ac:dyDescent="0.25">
      <c r="A36" s="59" t="s">
        <v>163</v>
      </c>
      <c r="B36" s="59" t="s">
        <v>147</v>
      </c>
      <c r="C36" s="59" t="s">
        <v>132</v>
      </c>
      <c r="D36" s="59" t="s">
        <v>128</v>
      </c>
      <c r="E36" s="59" t="s">
        <v>128</v>
      </c>
      <c r="F36" s="98" t="str">
        <f>+'Plan de Adquisiciones '!F67</f>
        <v>Socialización y 
Divulgación:Componente 1</v>
      </c>
      <c r="G36" s="98">
        <f>+'Plan de Adquisiciones '!G67</f>
        <v>140</v>
      </c>
      <c r="H36" s="98">
        <f>+'Plan de Adquisiciones '!H67</f>
        <v>0</v>
      </c>
      <c r="I36" s="98" t="str">
        <f>+'Plan de Adquisiciones '!I67</f>
        <v xml:space="preserve">Prestación de servicios profesionales para realizar el diseño y diagramación de piezas gráficas (impresas, audioviduales y digitales) del IDEP. </v>
      </c>
      <c r="J36" s="98">
        <f>+'Plan de Adquisiciones '!J67</f>
        <v>82141504</v>
      </c>
      <c r="K36" s="98" t="str">
        <f>+'Plan de Adquisiciones '!K67</f>
        <v>Subdirector Académico</v>
      </c>
      <c r="L36" s="98" t="str">
        <f>+'Plan de Adquisiciones '!L67</f>
        <v>Juliana Gutiérrez</v>
      </c>
      <c r="M36" s="98" t="str">
        <f>+'Plan de Adquisiciones '!N67</f>
        <v>Febrero</v>
      </c>
      <c r="N36" s="98">
        <f>+'Plan de Adquisiciones '!O67</f>
        <v>10</v>
      </c>
      <c r="O36" s="98" t="str">
        <f>+'Plan de Adquisiciones '!P67</f>
        <v xml:space="preserve"> Contratación Directa</v>
      </c>
      <c r="P36" s="98" t="str">
        <f>+'Plan de Adquisiciones '!Q67</f>
        <v>Directa</v>
      </c>
      <c r="Q36" s="107">
        <f>+'Plan de Adquisiciones '!R67</f>
        <v>13295908</v>
      </c>
      <c r="R36" s="107">
        <f>+'Plan de Adquisiciones '!S67</f>
        <v>0</v>
      </c>
      <c r="S36" s="107">
        <f>+'Plan de Adquisiciones '!T67</f>
        <v>13295908</v>
      </c>
      <c r="T36" s="98">
        <f>+'Plan de Adquisiciones '!U67</f>
        <v>1</v>
      </c>
      <c r="U36" s="107">
        <f>+'Plan de Adquisiciones '!V67</f>
        <v>13295908</v>
      </c>
      <c r="V36" s="107">
        <f>+'Plan de Adquisiciones '!W67</f>
        <v>0</v>
      </c>
      <c r="W36" s="107">
        <f>+'Plan de Adquisiciones '!X67</f>
        <v>13295908</v>
      </c>
      <c r="X36" s="106">
        <f>+'Plan de Adquisiciones '!Y67</f>
        <v>42794</v>
      </c>
      <c r="Y36" s="98">
        <f>+'Plan de Adquisiciones '!Z67</f>
        <v>13</v>
      </c>
      <c r="Z36" s="108" t="str">
        <f>+'Plan de Adquisiciones '!AA67</f>
        <v>GUSTAVO MARTINEZ</v>
      </c>
    </row>
    <row r="37" spans="1:97" ht="56.25" x14ac:dyDescent="0.25">
      <c r="A37" s="59" t="s">
        <v>163</v>
      </c>
      <c r="B37" s="59" t="s">
        <v>147</v>
      </c>
      <c r="C37" s="59" t="s">
        <v>132</v>
      </c>
      <c r="D37" s="59" t="s">
        <v>128</v>
      </c>
      <c r="E37" s="59" t="s">
        <v>128</v>
      </c>
      <c r="F37" s="98">
        <f>+'Plan de Adquisiciones '!F68</f>
        <v>0</v>
      </c>
      <c r="G37" s="98">
        <f>+'Plan de Adquisiciones '!G68</f>
        <v>71</v>
      </c>
      <c r="H37" s="98">
        <f>+'Plan de Adquisiciones '!H68</f>
        <v>0</v>
      </c>
      <c r="I37" s="98" t="str">
        <f>+'Plan de Adquisiciones '!I68</f>
        <v>Prestación de servicios profesionales para apoyar la socialización académica e institucional y el seguimiento de la misma.</v>
      </c>
      <c r="J37" s="98">
        <f>+'Plan de Adquisiciones '!J68</f>
        <v>80111621</v>
      </c>
      <c r="K37" s="98" t="str">
        <f>+'Plan de Adquisiciones '!K68</f>
        <v>Asesor 105-03</v>
      </c>
      <c r="L37" s="98" t="str">
        <f>+'Plan de Adquisiciones '!L68</f>
        <v>Martha Cuevas</v>
      </c>
      <c r="M37" s="98" t="str">
        <f>+'Plan de Adquisiciones '!N68</f>
        <v>Marzo</v>
      </c>
      <c r="N37" s="98">
        <f>+'Plan de Adquisiciones '!O68</f>
        <v>10</v>
      </c>
      <c r="O37" s="98" t="str">
        <f>+'Plan de Adquisiciones '!P68</f>
        <v xml:space="preserve"> Contratación Directa</v>
      </c>
      <c r="P37" s="98" t="str">
        <f>+'Plan de Adquisiciones '!Q68</f>
        <v>Directa</v>
      </c>
      <c r="Q37" s="107">
        <f>+'Plan de Adquisiciones '!R68</f>
        <v>22717000</v>
      </c>
      <c r="R37" s="107">
        <f>+'Plan de Adquisiciones '!S68</f>
        <v>0</v>
      </c>
      <c r="S37" s="107">
        <f>+'Plan de Adquisiciones '!T68</f>
        <v>22717000</v>
      </c>
      <c r="T37" s="98">
        <f>+'Plan de Adquisiciones '!U68</f>
        <v>1</v>
      </c>
      <c r="U37" s="107">
        <f>+'Plan de Adquisiciones '!V68</f>
        <v>22717000</v>
      </c>
      <c r="V37" s="107">
        <f>+'Plan de Adquisiciones '!W68</f>
        <v>0</v>
      </c>
      <c r="W37" s="107">
        <f>+'Plan de Adquisiciones '!X68</f>
        <v>22717000</v>
      </c>
      <c r="X37" s="106">
        <f>+'Plan de Adquisiciones '!Y68</f>
        <v>42797</v>
      </c>
      <c r="Y37" s="98">
        <f>+'Plan de Adquisiciones '!Z68</f>
        <v>21</v>
      </c>
      <c r="Z37" s="108" t="str">
        <f>+'Plan de Adquisiciones '!AA68</f>
        <v>NOHORA ROSO GUEVARA</v>
      </c>
    </row>
    <row r="38" spans="1:97" ht="90" x14ac:dyDescent="0.25">
      <c r="A38" s="59" t="s">
        <v>163</v>
      </c>
      <c r="B38" s="59" t="str">
        <f t="shared" ref="B38:C38" si="0">+B19</f>
        <v>Codigo 383 
Un sistema de seguimiento a la Política Educativa Distrital en los contestos Escolare Ajustado e Implementado</v>
      </c>
      <c r="C38" s="59" t="str">
        <f t="shared" si="0"/>
        <v>Componente No.1 "Sistema de Seguimiento a la política educativa distrital en los contextos escolares."</v>
      </c>
      <c r="D38" s="59" t="s">
        <v>128</v>
      </c>
      <c r="E38" s="59" t="s">
        <v>128</v>
      </c>
      <c r="F38" s="98">
        <f>+'Plan de Adquisiciones '!F69</f>
        <v>0</v>
      </c>
      <c r="G38" s="98">
        <f>+'Plan de Adquisiciones '!G69</f>
        <v>184</v>
      </c>
      <c r="H38" s="98">
        <f>+'Plan de Adquisiciones '!H69</f>
        <v>0</v>
      </c>
      <c r="I38" s="98" t="str">
        <f>+'Plan de Adquisiciones '!I69</f>
        <v xml:space="preserve">Adición al contrato No. 68 de 2016 " Prestación de servicios profesionales para el diseño de una estrategia de educomunicación institucional con el uso y desarrollo de  las  Tecnologías de la Información y la Comunicación, TIC". </v>
      </c>
      <c r="J38" s="98">
        <f>+'Plan de Adquisiciones '!J69</f>
        <v>80111621</v>
      </c>
      <c r="K38" s="98" t="str">
        <f>+'Plan de Adquisiciones '!K69</f>
        <v>Asesor 105-03</v>
      </c>
      <c r="L38" s="98" t="str">
        <f>+'Plan de Adquisiciones '!L69</f>
        <v>Martha Cuevas</v>
      </c>
      <c r="M38" s="98" t="str">
        <f>+'Plan de Adquisiciones '!N69</f>
        <v>Marzo</v>
      </c>
      <c r="N38" s="98">
        <f>+'Plan de Adquisiciones '!O69</f>
        <v>10</v>
      </c>
      <c r="O38" s="98" t="str">
        <f>+'Plan de Adquisiciones '!P69</f>
        <v xml:space="preserve"> Contratación Directa</v>
      </c>
      <c r="P38" s="98" t="str">
        <f>+'Plan de Adquisiciones '!Q69</f>
        <v>Directa</v>
      </c>
      <c r="Q38" s="107">
        <f>+'Plan de Adquisiciones '!R69</f>
        <v>2439700</v>
      </c>
      <c r="R38" s="107">
        <f>+'Plan de Adquisiciones '!S69</f>
        <v>0</v>
      </c>
      <c r="S38" s="107">
        <f>+'Plan de Adquisiciones '!T69</f>
        <v>2439700</v>
      </c>
      <c r="T38" s="98">
        <f>+'Plan de Adquisiciones '!U69</f>
        <v>1</v>
      </c>
      <c r="U38" s="107">
        <f>+'Plan de Adquisiciones '!V69</f>
        <v>2439700</v>
      </c>
      <c r="V38" s="107">
        <f>+'Plan de Adquisiciones '!W69</f>
        <v>0</v>
      </c>
      <c r="W38" s="107">
        <f>+'Plan de Adquisiciones '!X69</f>
        <v>2439700</v>
      </c>
      <c r="X38" s="106">
        <f>+'Plan de Adquisiciones '!Y69</f>
        <v>42804</v>
      </c>
      <c r="Y38" s="98">
        <f>+'Plan de Adquisiciones '!Z69</f>
        <v>68</v>
      </c>
      <c r="Z38" s="108" t="str">
        <f>+'Plan de Adquisiciones '!AA69</f>
        <v>LUISA TRUJILLO MARTINEZ</v>
      </c>
    </row>
    <row r="39" spans="1:97" ht="123.75" x14ac:dyDescent="0.25">
      <c r="A39" s="59" t="s">
        <v>163</v>
      </c>
      <c r="B39" s="59" t="str">
        <f>+B20</f>
        <v>Codigo 383 
Un sistema de seguimiento a la Política Educativa Distrital en los contestos Escolare Ajustado e Implementado</v>
      </c>
      <c r="C39" s="59" t="str">
        <f>+C20</f>
        <v>Componente No.1 "Sistema de Seguimiento a la política educativa distrital en los contextos escolares."</v>
      </c>
      <c r="D39" s="59" t="s">
        <v>128</v>
      </c>
      <c r="E39" s="59" t="s">
        <v>128</v>
      </c>
      <c r="F39" s="98">
        <f>+'Plan de Adquisiciones '!F70</f>
        <v>0</v>
      </c>
      <c r="G39" s="98">
        <f>+'Plan de Adquisiciones '!G70</f>
        <v>204</v>
      </c>
      <c r="H39" s="98"/>
      <c r="I39" s="98" t="str">
        <f>+'Plan de Adquisiciones '!I70</f>
        <v xml:space="preserve">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v>
      </c>
      <c r="J39" s="98">
        <f>+'Plan de Adquisiciones '!J70</f>
        <v>80111601</v>
      </c>
      <c r="K39" s="98" t="str">
        <f>+'Plan de Adquisiciones '!K70</f>
        <v>Subdirector Académico</v>
      </c>
      <c r="L39" s="98" t="str">
        <f>+'Plan de Adquisiciones '!L70</f>
        <v>Juliana Gutiérrez</v>
      </c>
      <c r="M39" s="97" t="str">
        <f>+'Plan de Adquisiciones '!N70</f>
        <v>Abril</v>
      </c>
      <c r="N39" s="98">
        <f>+'Plan de Adquisiciones '!O70</f>
        <v>8</v>
      </c>
      <c r="O39" s="98" t="str">
        <f>+'Plan de Adquisiciones '!P70</f>
        <v xml:space="preserve"> Contratación Directa</v>
      </c>
      <c r="P39" s="98" t="str">
        <f>+'Plan de Adquisiciones '!Q70</f>
        <v>Directa</v>
      </c>
      <c r="Q39" s="107">
        <f>+'Plan de Adquisiciones '!R70</f>
        <v>76886771</v>
      </c>
      <c r="R39" s="107">
        <f>+'Plan de Adquisiciones '!S70</f>
        <v>0</v>
      </c>
      <c r="S39" s="107">
        <f>+'Plan de Adquisiciones '!T70</f>
        <v>76886771</v>
      </c>
      <c r="T39" s="98">
        <f>+'Plan de Adquisiciones '!U70</f>
        <v>1</v>
      </c>
      <c r="U39" s="107">
        <f>+'Plan de Adquisiciones '!V70</f>
        <v>76886771</v>
      </c>
      <c r="V39" s="107">
        <f>+'Plan de Adquisiciones '!W70</f>
        <v>0</v>
      </c>
      <c r="W39" s="107">
        <f>+'Plan de Adquisiciones '!X70</f>
        <v>76886771</v>
      </c>
      <c r="X39" s="106">
        <f>+'Plan de Adquisiciones '!Y70</f>
        <v>42843</v>
      </c>
      <c r="Y39" s="98">
        <f>+'Plan de Adquisiciones '!Z70</f>
        <v>45</v>
      </c>
      <c r="Z39" s="108" t="str">
        <f>+'Plan de Adquisiciones '!AA70</f>
        <v>CAJA DE COMPENSACIÓN FAMILIAR COMPENSAR</v>
      </c>
    </row>
    <row r="40" spans="1:97" ht="56.25" x14ac:dyDescent="0.25">
      <c r="A40" s="59" t="s">
        <v>371</v>
      </c>
      <c r="B40" s="59" t="str">
        <f>+B21</f>
        <v>Codigo 383 
Un sistema de seguimiento a la Política Educativa Distrital en los contestos Escolare Ajustado e Implementado</v>
      </c>
      <c r="C40" s="59" t="str">
        <f>+C21</f>
        <v>Componente No.1 "Sistema de Seguimiento a la política educativa distrital en los contextos escolares."</v>
      </c>
      <c r="D40" s="59" t="s">
        <v>128</v>
      </c>
      <c r="E40" s="59" t="s">
        <v>128</v>
      </c>
      <c r="F40" s="98"/>
      <c r="G40" s="98"/>
      <c r="H40" s="98"/>
      <c r="I40" s="98" t="e">
        <f>+'Plan de Adquisiciones '!#REF!</f>
        <v>#REF!</v>
      </c>
      <c r="J40" s="98" t="e">
        <f>+'Plan de Adquisiciones '!#REF!</f>
        <v>#REF!</v>
      </c>
      <c r="K40" s="98" t="e">
        <f>+'Plan de Adquisiciones '!#REF!</f>
        <v>#REF!</v>
      </c>
      <c r="L40" s="98" t="e">
        <f>+'Plan de Adquisiciones '!#REF!</f>
        <v>#REF!</v>
      </c>
      <c r="M40" s="98" t="e">
        <f>+'Plan de Adquisiciones '!#REF!</f>
        <v>#REF!</v>
      </c>
      <c r="N40" s="98" t="e">
        <f>+'Plan de Adquisiciones '!#REF!</f>
        <v>#REF!</v>
      </c>
      <c r="O40" s="98" t="e">
        <f>+'Plan de Adquisiciones '!#REF!</f>
        <v>#REF!</v>
      </c>
      <c r="P40" s="98" t="e">
        <f>+'Plan de Adquisiciones '!#REF!</f>
        <v>#REF!</v>
      </c>
      <c r="Q40" s="107" t="e">
        <f>+'Plan de Adquisiciones '!#REF!</f>
        <v>#REF!</v>
      </c>
      <c r="R40" s="107" t="e">
        <f>+'Plan de Adquisiciones '!#REF!</f>
        <v>#REF!</v>
      </c>
      <c r="S40" s="107" t="e">
        <f>+'Plan de Adquisiciones '!#REF!</f>
        <v>#REF!</v>
      </c>
      <c r="T40" s="98" t="e">
        <f>+'Plan de Adquisiciones '!#REF!</f>
        <v>#REF!</v>
      </c>
      <c r="U40" s="107" t="e">
        <f>+'Plan de Adquisiciones '!#REF!</f>
        <v>#REF!</v>
      </c>
      <c r="V40" s="107" t="e">
        <f>+'Plan de Adquisiciones '!#REF!</f>
        <v>#REF!</v>
      </c>
      <c r="W40" s="107" t="e">
        <f>+'Plan de Adquisiciones '!#REF!</f>
        <v>#REF!</v>
      </c>
      <c r="X40" s="106"/>
      <c r="Y40" s="98" t="e">
        <f>+'Plan de Adquisiciones '!#REF!</f>
        <v>#REF!</v>
      </c>
      <c r="Z40" s="108" t="e">
        <f>+'Plan de Adquisiciones '!#REF!</f>
        <v>#REF!</v>
      </c>
    </row>
    <row r="41" spans="1:97" ht="56.25" x14ac:dyDescent="0.25">
      <c r="A41" s="59" t="s">
        <v>163</v>
      </c>
      <c r="B41" s="59" t="str">
        <f t="shared" ref="B41:C41" si="1">+B22</f>
        <v>Codigo 383 
Un sistema de seguimiento a la Política Educativa Distrital en los contestos Escolare Ajustado e Implementado</v>
      </c>
      <c r="C41" s="59" t="str">
        <f t="shared" si="1"/>
        <v>Componente No.1 "Sistema de Seguimiento a la política educativa distrital en los contextos escolares."</v>
      </c>
      <c r="D41" s="59" t="s">
        <v>128</v>
      </c>
      <c r="E41" s="59" t="s">
        <v>128</v>
      </c>
      <c r="F41" s="98">
        <f>+'Plan de Adquisiciones '!F73</f>
        <v>0</v>
      </c>
      <c r="G41" s="98">
        <f>+'Plan de Adquisiciones '!G73</f>
        <v>172</v>
      </c>
      <c r="H41" s="98">
        <f>+'Plan de Adquisiciones '!H73</f>
        <v>0</v>
      </c>
      <c r="I41" s="98" t="str">
        <f>+'Plan de Adquisiciones '!I73</f>
        <v>Prestación de servicios profesionales para dar soporte a página web del IDEP y a la infraestructura tecnológica del instituto</v>
      </c>
      <c r="J41" s="98">
        <f>+'Plan de Adquisiciones '!J73</f>
        <v>81112103</v>
      </c>
      <c r="K41" s="98" t="str">
        <f>+'Plan de Adquisiciones '!K73</f>
        <v>Subdirector Académico</v>
      </c>
      <c r="L41" s="98" t="str">
        <f>+'Plan de Adquisiciones '!L73</f>
        <v>Juliana Gutiérrez</v>
      </c>
      <c r="M41" s="98" t="str">
        <f>+'Plan de Adquisiciones '!N73</f>
        <v>Marzo</v>
      </c>
      <c r="N41" s="98">
        <f>+'Plan de Adquisiciones '!O73</f>
        <v>10</v>
      </c>
      <c r="O41" s="98" t="str">
        <f>+'Plan de Adquisiciones '!P73</f>
        <v xml:space="preserve"> Contratación Directa</v>
      </c>
      <c r="P41" s="98" t="str">
        <f>+'Plan de Adquisiciones '!Q73</f>
        <v>Directa</v>
      </c>
      <c r="Q41" s="107">
        <f>+'Plan de Adquisiciones '!R73</f>
        <v>30605075</v>
      </c>
      <c r="R41" s="107">
        <f>+'Plan de Adquisiciones '!S73</f>
        <v>0</v>
      </c>
      <c r="S41" s="107">
        <f>+'Plan de Adquisiciones '!T73</f>
        <v>30605075</v>
      </c>
      <c r="T41" s="98">
        <f>+'Plan de Adquisiciones '!U73</f>
        <v>1</v>
      </c>
      <c r="U41" s="107">
        <f>+'Plan de Adquisiciones '!V73</f>
        <v>30605075</v>
      </c>
      <c r="V41" s="107">
        <f>+'Plan de Adquisiciones '!W73</f>
        <v>0</v>
      </c>
      <c r="W41" s="107">
        <f>+'Plan de Adquisiciones '!X73</f>
        <v>30605075</v>
      </c>
      <c r="X41" s="106">
        <f>+'Plan de Adquisiciones '!Y73</f>
        <v>42801</v>
      </c>
      <c r="Y41" s="98">
        <f>+'Plan de Adquisiciones '!Z73</f>
        <v>27</v>
      </c>
      <c r="Z41" s="108" t="str">
        <f>+'Plan de Adquisiciones '!AA73</f>
        <v>OSCAR LOZANO MANRIQUE</v>
      </c>
    </row>
    <row r="42" spans="1:97" ht="67.5" x14ac:dyDescent="0.25">
      <c r="A42" s="59" t="s">
        <v>163</v>
      </c>
      <c r="B42" s="59" t="str">
        <f t="shared" ref="B42:C42" si="2">+B23</f>
        <v>Codigo 383 
Un sistema de seguimiento a la Política Educativa Distrital en los contestos Escolare Ajustado e Implementado</v>
      </c>
      <c r="C42" s="59" t="str">
        <f t="shared" si="2"/>
        <v>Componente No.1 "Sistema de Seguimiento a la política educativa distrital en los contextos escolares."</v>
      </c>
      <c r="D42" s="59" t="s">
        <v>128</v>
      </c>
      <c r="E42" s="59" t="s">
        <v>128</v>
      </c>
      <c r="F42" s="98">
        <f>+'Plan de Adquisiciones '!F74</f>
        <v>0</v>
      </c>
      <c r="G42" s="98">
        <f>+'Plan de Adquisiciones '!G74</f>
        <v>171</v>
      </c>
      <c r="H42" s="98">
        <f>+'Plan de Adquisiciones '!H74</f>
        <v>0</v>
      </c>
      <c r="I42" s="98" t="str">
        <f>+'Plan de Adquisiciones '!I74</f>
        <v>Prestación de servicios profesionales para la construcción de contenidos y efectuar las actividades de actualización de la página web del IDEP</v>
      </c>
      <c r="J42" s="98">
        <f>+'Plan de Adquisiciones '!J74</f>
        <v>83121702</v>
      </c>
      <c r="K42" s="98" t="str">
        <f>+'Plan de Adquisiciones '!K74</f>
        <v>Profesional 222-05</v>
      </c>
      <c r="L42" s="98" t="str">
        <f>+'Plan de Adquisiciones '!L74</f>
        <v>Juliana Gutiérrez</v>
      </c>
      <c r="M42" s="98" t="str">
        <f>+'Plan de Adquisiciones '!N74</f>
        <v>Marzo</v>
      </c>
      <c r="N42" s="98">
        <f>+'Plan de Adquisiciones '!O74</f>
        <v>2</v>
      </c>
      <c r="O42" s="98" t="str">
        <f>+'Plan de Adquisiciones '!P74</f>
        <v xml:space="preserve"> Contratación Directa</v>
      </c>
      <c r="P42" s="98" t="str">
        <f>+'Plan de Adquisiciones '!Q74</f>
        <v>Directa</v>
      </c>
      <c r="Q42" s="107">
        <f>+'Plan de Adquisiciones '!R74</f>
        <v>8825010</v>
      </c>
      <c r="R42" s="107">
        <f>+'Plan de Adquisiciones '!S74</f>
        <v>0</v>
      </c>
      <c r="S42" s="107">
        <f>+'Plan de Adquisiciones '!T74</f>
        <v>8825010</v>
      </c>
      <c r="T42" s="98">
        <f>+'Plan de Adquisiciones '!U74</f>
        <v>1</v>
      </c>
      <c r="U42" s="107">
        <f>+'Plan de Adquisiciones '!V74</f>
        <v>8825010</v>
      </c>
      <c r="V42" s="107">
        <f>+'Plan de Adquisiciones '!W74</f>
        <v>0</v>
      </c>
      <c r="W42" s="107">
        <f>+'Plan de Adquisiciones '!X74</f>
        <v>8825010</v>
      </c>
      <c r="X42" s="106">
        <f>+'Plan de Adquisiciones '!Y74</f>
        <v>42794</v>
      </c>
      <c r="Y42" s="98">
        <f>+'Plan de Adquisiciones '!Z74</f>
        <v>17</v>
      </c>
      <c r="Z42" s="108" t="str">
        <f>+'Plan de Adquisiciones '!AA74</f>
        <v>RICHAR ROMO GUACAS</v>
      </c>
    </row>
    <row r="43" spans="1:97" ht="157.5" x14ac:dyDescent="0.25">
      <c r="A43" s="59" t="s">
        <v>163</v>
      </c>
      <c r="B43" s="59" t="str">
        <f>+B24</f>
        <v>Codigo 383 
Un sistema de seguimiento a la Política Educativa Distrital en los contestos Escolare Ajustado e Implementado</v>
      </c>
      <c r="C43" s="59" t="str">
        <f>+C24</f>
        <v>Componente No.1 "Sistema de Seguimiento a la política educativa distrital en los contextos escolares."</v>
      </c>
      <c r="D43" s="59" t="s">
        <v>128</v>
      </c>
      <c r="E43" s="59" t="s">
        <v>128</v>
      </c>
      <c r="F43" s="98">
        <f>+'Plan de Adquisiciones '!F75</f>
        <v>0</v>
      </c>
      <c r="G43" s="98">
        <f>+'Plan de Adquisiciones '!G75</f>
        <v>174</v>
      </c>
      <c r="H43" s="98">
        <f>+'Plan de Adquisiciones '!H75</f>
        <v>0</v>
      </c>
      <c r="I43" s="98" t="str">
        <f>+'Plan de Adquisiciones '!I75</f>
        <v>Prestar servicios para difundir en televisión nacional abierta por medio de la serie “francisco el matemático”, las estrategias y campañas del distrito capital para la promoción de valores cívicos, competencias ciudadanas y autocuidado, que contribuyen al mejoramiento de la calidad de vida de la comunidad educativa del distrito y la ciudadanía en general, en el marco del plan de desarrollo “bogotá mejor para todos”</v>
      </c>
      <c r="J43" s="98">
        <f>+'Plan de Adquisiciones '!J75</f>
        <v>80111621</v>
      </c>
      <c r="K43" s="98" t="str">
        <f>+'Plan de Adquisiciones '!K75</f>
        <v>Subdirector Académico</v>
      </c>
      <c r="L43" s="98" t="str">
        <f>+'Plan de Adquisiciones '!L75</f>
        <v>Juliana Gutiérrez</v>
      </c>
      <c r="M43" s="98" t="str">
        <f>+'Plan de Adquisiciones '!N75</f>
        <v>Febrero</v>
      </c>
      <c r="N43" s="98">
        <f>+'Plan de Adquisiciones '!O75</f>
        <v>10</v>
      </c>
      <c r="O43" s="98" t="str">
        <f>+'Plan de Adquisiciones '!P75</f>
        <v xml:space="preserve"> Contratación Directa</v>
      </c>
      <c r="P43" s="98" t="str">
        <f>+'Plan de Adquisiciones '!Q75</f>
        <v>Directa</v>
      </c>
      <c r="Q43" s="107">
        <f>+'Plan de Adquisiciones '!R75</f>
        <v>132905523</v>
      </c>
      <c r="R43" s="107">
        <f>+'Plan de Adquisiciones '!S75</f>
        <v>0</v>
      </c>
      <c r="S43" s="107">
        <f>+'Plan de Adquisiciones '!T75</f>
        <v>132905523</v>
      </c>
      <c r="T43" s="98">
        <f>+'Plan de Adquisiciones '!U75</f>
        <v>1</v>
      </c>
      <c r="U43" s="107">
        <f>+'Plan de Adquisiciones '!V75</f>
        <v>132905523</v>
      </c>
      <c r="V43" s="107">
        <f>+'Plan de Adquisiciones '!W75</f>
        <v>0</v>
      </c>
      <c r="W43" s="107">
        <f>+'Plan de Adquisiciones '!X75</f>
        <v>132905523</v>
      </c>
      <c r="X43" s="106">
        <f>+'Plan de Adquisiciones '!Y75</f>
        <v>42804</v>
      </c>
      <c r="Y43" s="98">
        <f>+'Plan de Adquisiciones '!Z75</f>
        <v>33</v>
      </c>
      <c r="Z43" s="108" t="str">
        <f>+'Plan de Adquisiciones '!AA75</f>
        <v>RCN TELEVISIÓN</v>
      </c>
    </row>
    <row r="44" spans="1:97" s="103" customFormat="1" ht="76.5" customHeight="1" x14ac:dyDescent="0.2">
      <c r="A44" s="59" t="s">
        <v>163</v>
      </c>
      <c r="B44" s="59" t="str">
        <f t="shared" ref="B44:C44" si="3">+B25</f>
        <v>Codigo 383 
Un sistema de seguimiento a la Política Educativa Distrital en los contestos Escolare Ajustado e Implementado</v>
      </c>
      <c r="C44" s="59" t="str">
        <f t="shared" si="3"/>
        <v>Componente No.1 "Sistema de Seguimiento a la política educativa distrital en los contextos escolares."</v>
      </c>
      <c r="D44" s="59" t="s">
        <v>128</v>
      </c>
      <c r="E44" s="59" t="s">
        <v>128</v>
      </c>
      <c r="F44" s="101" t="e">
        <f>+'Plan de Adquisiciones '!#REF!</f>
        <v>#REF!</v>
      </c>
      <c r="G44" s="101"/>
      <c r="H44" s="101" t="e">
        <f>+'Plan de Adquisiciones '!#REF!</f>
        <v>#REF!</v>
      </c>
      <c r="I44" s="101" t="str">
        <f>+'Plan de Adquisiciones '!I77</f>
        <v xml:space="preserve">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v>
      </c>
      <c r="J44" s="101">
        <f>+'Plan de Adquisiciones '!J77</f>
        <v>82111902</v>
      </c>
      <c r="K44" s="101" t="str">
        <f>+'Plan de Adquisiciones '!K77</f>
        <v>Subdirector Académico</v>
      </c>
      <c r="L44" s="101" t="str">
        <f>+'Plan de Adquisiciones '!L77</f>
        <v>Juliana Gutiérrez</v>
      </c>
      <c r="M44" s="97" t="str">
        <f>+'Plan de Adquisiciones '!N63</f>
        <v>Mayo</v>
      </c>
      <c r="N44" s="101">
        <f>+'Plan de Adquisiciones '!O77</f>
        <v>8</v>
      </c>
      <c r="O44" s="101" t="str">
        <f>+'Plan de Adquisiciones '!P77</f>
        <v xml:space="preserve"> Contratación Directa</v>
      </c>
      <c r="P44" s="101" t="str">
        <f>+'Plan de Adquisiciones '!Q77</f>
        <v>Directa</v>
      </c>
      <c r="Q44" s="107">
        <f>+'Plan de Adquisiciones '!R77</f>
        <v>1645582</v>
      </c>
      <c r="R44" s="107">
        <f>+'Plan de Adquisiciones '!S77</f>
        <v>0</v>
      </c>
      <c r="S44" s="107">
        <f>+'Plan de Adquisiciones '!T77</f>
        <v>1645582</v>
      </c>
      <c r="T44" s="101">
        <f>+'Plan de Adquisiciones '!U77</f>
        <v>1</v>
      </c>
      <c r="U44" s="107">
        <f>+'Plan de Adquisiciones '!V77</f>
        <v>1645582</v>
      </c>
      <c r="V44" s="107">
        <f>+'Plan de Adquisiciones '!W77</f>
        <v>0</v>
      </c>
      <c r="W44" s="107">
        <f>+'Plan de Adquisiciones '!X77</f>
        <v>1645582</v>
      </c>
      <c r="X44" s="106">
        <f>+'Plan de Adquisiciones '!Y77</f>
        <v>42843</v>
      </c>
      <c r="Y44" s="101">
        <f>+'Plan de Adquisiciones '!Z77</f>
        <v>45</v>
      </c>
      <c r="Z44" s="109" t="str">
        <f>+'Plan de Adquisiciones '!AA77</f>
        <v>CAJA DE COMPENSACIÓN FAMILIAR COMPENSAR</v>
      </c>
      <c r="AA44" s="99"/>
      <c r="AB44" s="102"/>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row>
    <row r="45" spans="1:97" ht="101.25" x14ac:dyDescent="0.25">
      <c r="A45" s="59" t="s">
        <v>163</v>
      </c>
      <c r="B45" s="75" t="s">
        <v>148</v>
      </c>
      <c r="C45" s="76" t="s">
        <v>131</v>
      </c>
      <c r="D45" s="59" t="s">
        <v>37</v>
      </c>
      <c r="E45" s="59" t="s">
        <v>42</v>
      </c>
      <c r="F45" s="98" t="str">
        <f>+'Plan de Adquisiciones '!F81</f>
        <v>Diseño de la Estrategia de cualificación, investigación e innovación docente: comunidades de saber y de práctica pedagógica - Fase 2</v>
      </c>
      <c r="G45" s="98">
        <f>+'Plan de Adquisiciones '!G81</f>
        <v>78</v>
      </c>
      <c r="H45" s="98">
        <f>+'Plan de Adquisiciones '!H81</f>
        <v>0</v>
      </c>
      <c r="I45" s="98" t="str">
        <f>+'Plan de Adquisiciones '!I81</f>
        <v>Prestación de servicios profesionales para realizar la conceptualización, caracterización y diseño metodológico del componente Cualificación, investigación e innovación docente: comunidades de saber y de práctica pedagógica</v>
      </c>
      <c r="J45" s="98">
        <f>+'Plan de Adquisiciones '!J81</f>
        <v>80111621</v>
      </c>
      <c r="K45" s="98" t="str">
        <f>+'Plan de Adquisiciones '!K81</f>
        <v xml:space="preserve">Asesor 105-02 </v>
      </c>
      <c r="L45" s="98" t="str">
        <f>+'Plan de Adquisiciones '!L81</f>
        <v>Edwin Ferley Ortíz</v>
      </c>
      <c r="M45" s="98" t="str">
        <f>+'Plan de Adquisiciones '!N81</f>
        <v>Marzo</v>
      </c>
      <c r="N45" s="98">
        <f>+'Plan de Adquisiciones '!O81</f>
        <v>6</v>
      </c>
      <c r="O45" s="98" t="str">
        <f>+'Plan de Adquisiciones '!P81</f>
        <v xml:space="preserve"> Contratación Directa</v>
      </c>
      <c r="P45" s="98" t="str">
        <f>+'Plan de Adquisiciones '!Q81</f>
        <v>Directa</v>
      </c>
      <c r="Q45" s="107">
        <f>+'Plan de Adquisiciones '!R81</f>
        <v>48689322</v>
      </c>
      <c r="R45" s="107">
        <f>+'Plan de Adquisiciones '!S81</f>
        <v>0</v>
      </c>
      <c r="S45" s="107">
        <f>+'Plan de Adquisiciones '!T81</f>
        <v>48689322</v>
      </c>
      <c r="T45" s="98">
        <f>+'Plan de Adquisiciones '!U81</f>
        <v>1</v>
      </c>
      <c r="U45" s="107">
        <f>+'Plan de Adquisiciones '!V81</f>
        <v>48689322</v>
      </c>
      <c r="V45" s="107">
        <f>+'Plan de Adquisiciones '!W81</f>
        <v>0</v>
      </c>
      <c r="W45" s="107">
        <f>+'Plan de Adquisiciones '!X81</f>
        <v>48689322</v>
      </c>
      <c r="X45" s="106">
        <f>+'Plan de Adquisiciones '!Y81</f>
        <v>42815</v>
      </c>
      <c r="Y45" s="98">
        <f>+'Plan de Adquisiciones '!Z81</f>
        <v>37</v>
      </c>
      <c r="Z45" s="108" t="str">
        <f>+'Plan de Adquisiciones '!AA81</f>
        <v>JAIME PARRA RODRIGUEZ</v>
      </c>
    </row>
    <row r="46" spans="1:97" ht="56.25" x14ac:dyDescent="0.25">
      <c r="A46" s="59" t="s">
        <v>163</v>
      </c>
      <c r="B46" s="75" t="s">
        <v>148</v>
      </c>
      <c r="C46" s="76" t="s">
        <v>131</v>
      </c>
      <c r="D46" s="59" t="s">
        <v>194</v>
      </c>
      <c r="E46" s="59" t="s">
        <v>31</v>
      </c>
      <c r="F46" s="98" t="str">
        <f>+'Plan de Adquisiciones '!F84</f>
        <v>Estudio de la  Estrategia de cualificación, investigación e innovación docente: comunidades de saber y de práctica pedagógica- Fase 2</v>
      </c>
      <c r="G46" s="98">
        <f>+'Plan de Adquisiciones '!G84</f>
        <v>151</v>
      </c>
      <c r="H46" s="98">
        <f>+'Plan de Adquisiciones '!H84</f>
        <v>0</v>
      </c>
      <c r="I46" s="98" t="str">
        <f>+'Plan de Adquisiciones '!I84</f>
        <v xml:space="preserve">Prestación de servicios profesionales para orientar el acompañamiento  a iniciativas de proyectos pedagógicos: Nivel I </v>
      </c>
      <c r="J46" s="98">
        <f>+'Plan de Adquisiciones '!J84</f>
        <v>80111621</v>
      </c>
      <c r="K46" s="98" t="str">
        <f>+'Plan de Adquisiciones '!K84</f>
        <v>Profesional 222-06</v>
      </c>
      <c r="L46" s="98" t="str">
        <f>+'Plan de Adquisiciones '!L84</f>
        <v>Luisa Acuña</v>
      </c>
      <c r="M46" s="98" t="str">
        <f>+'Plan de Adquisiciones '!N84</f>
        <v>Febrero</v>
      </c>
      <c r="N46" s="98">
        <f>+'Plan de Adquisiciones '!O84</f>
        <v>9</v>
      </c>
      <c r="O46" s="98" t="str">
        <f>+'Plan de Adquisiciones '!P84</f>
        <v xml:space="preserve"> Contratación Directa</v>
      </c>
      <c r="P46" s="98" t="str">
        <f>+'Plan de Adquisiciones '!Q84</f>
        <v>Directa</v>
      </c>
      <c r="Q46" s="107">
        <f>+'Plan de Adquisiciones '!R84</f>
        <v>59755077</v>
      </c>
      <c r="R46" s="107">
        <f>+'Plan de Adquisiciones '!S84</f>
        <v>0</v>
      </c>
      <c r="S46" s="107">
        <f>+'Plan de Adquisiciones '!T84</f>
        <v>59755077</v>
      </c>
      <c r="T46" s="98">
        <f>+'Plan de Adquisiciones '!U84</f>
        <v>1</v>
      </c>
      <c r="U46" s="107">
        <f>+'Plan de Adquisiciones '!V84</f>
        <v>59755077</v>
      </c>
      <c r="V46" s="107">
        <f>+'Plan de Adquisiciones '!W84</f>
        <v>0</v>
      </c>
      <c r="W46" s="107">
        <f>+'Plan de Adquisiciones '!X84</f>
        <v>59755077</v>
      </c>
      <c r="X46" s="106">
        <f>+'Plan de Adquisiciones '!Y84</f>
        <v>42794</v>
      </c>
      <c r="Y46" s="98">
        <f>+'Plan de Adquisiciones '!Z84</f>
        <v>9</v>
      </c>
      <c r="Z46" s="108" t="str">
        <f>+'Plan de Adquisiciones '!AA84</f>
        <v>OLGA BEJARANO BEJARANO</v>
      </c>
    </row>
    <row r="47" spans="1:97" ht="56.25" x14ac:dyDescent="0.25">
      <c r="A47" s="59" t="s">
        <v>163</v>
      </c>
      <c r="B47" s="75" t="s">
        <v>148</v>
      </c>
      <c r="C47" s="76" t="s">
        <v>131</v>
      </c>
      <c r="D47" s="59" t="s">
        <v>194</v>
      </c>
      <c r="E47" s="59" t="s">
        <v>31</v>
      </c>
      <c r="F47" s="98">
        <f>+'Plan de Adquisiciones '!F85</f>
        <v>0</v>
      </c>
      <c r="G47" s="98">
        <f>+'Plan de Adquisiciones '!G85</f>
        <v>152</v>
      </c>
      <c r="H47" s="98">
        <f>+'Plan de Adquisiciones '!H85</f>
        <v>0</v>
      </c>
      <c r="I47" s="98" t="str">
        <f>+'Plan de Adquisiciones '!I85</f>
        <v>Prestación de servicios profesionales para orientar el acompañamiento  a experiencias pedagógicas en desarrollo: Nivel II</v>
      </c>
      <c r="J47" s="98">
        <f>+'Plan de Adquisiciones '!J85</f>
        <v>80111621</v>
      </c>
      <c r="K47" s="98" t="str">
        <f>+'Plan de Adquisiciones '!K85</f>
        <v>Profesional 222-06</v>
      </c>
      <c r="L47" s="98" t="str">
        <f>+'Plan de Adquisiciones '!L85</f>
        <v>Luisa Acuña</v>
      </c>
      <c r="M47" s="98" t="str">
        <f>+'Plan de Adquisiciones '!N85</f>
        <v>Febrero</v>
      </c>
      <c r="N47" s="98">
        <f>+'Plan de Adquisiciones '!O85</f>
        <v>9</v>
      </c>
      <c r="O47" s="98" t="str">
        <f>+'Plan de Adquisiciones '!P85</f>
        <v xml:space="preserve"> Contratación Directa</v>
      </c>
      <c r="P47" s="98" t="str">
        <f>+'Plan de Adquisiciones '!Q85</f>
        <v>Directa</v>
      </c>
      <c r="Q47" s="107">
        <f>+'Plan de Adquisiciones '!R85</f>
        <v>59755077</v>
      </c>
      <c r="R47" s="107">
        <f>+'Plan de Adquisiciones '!S85</f>
        <v>0</v>
      </c>
      <c r="S47" s="107">
        <f>+'Plan de Adquisiciones '!T85</f>
        <v>59755077</v>
      </c>
      <c r="T47" s="98">
        <f>+'Plan de Adquisiciones '!U85</f>
        <v>1</v>
      </c>
      <c r="U47" s="107">
        <f>+'Plan de Adquisiciones '!V85</f>
        <v>59755077</v>
      </c>
      <c r="V47" s="107">
        <f>+'Plan de Adquisiciones '!W85</f>
        <v>0</v>
      </c>
      <c r="W47" s="107">
        <f>+'Plan de Adquisiciones '!X85</f>
        <v>59755077</v>
      </c>
      <c r="X47" s="106">
        <f>+'Plan de Adquisiciones '!Y85</f>
        <v>42794</v>
      </c>
      <c r="Y47" s="98">
        <f>+'Plan de Adquisiciones '!Z85</f>
        <v>10</v>
      </c>
      <c r="Z47" s="108" t="str">
        <f>+'Plan de Adquisiciones '!AA85</f>
        <v>LUZ CARDOZO ESPITIA</v>
      </c>
    </row>
    <row r="48" spans="1:97" ht="67.5" x14ac:dyDescent="0.25">
      <c r="A48" s="59" t="s">
        <v>163</v>
      </c>
      <c r="B48" s="75" t="s">
        <v>148</v>
      </c>
      <c r="C48" s="76" t="s">
        <v>131</v>
      </c>
      <c r="D48" s="59" t="s">
        <v>194</v>
      </c>
      <c r="E48" s="59" t="s">
        <v>31</v>
      </c>
      <c r="F48" s="98">
        <f>+'Plan de Adquisiciones '!F86</f>
        <v>0</v>
      </c>
      <c r="G48" s="98">
        <f>+'Plan de Adquisiciones '!G86</f>
        <v>153</v>
      </c>
      <c r="H48" s="98">
        <f>+'Plan de Adquisiciones '!H86</f>
        <v>0</v>
      </c>
      <c r="I48" s="98" t="str">
        <f>+'Plan de Adquisiciones '!I86</f>
        <v>Prestación de servicios profesionales para orientar el acompañamiento  a la sistematización de experiencias pedagógicas significativas: Nivel III</v>
      </c>
      <c r="J48" s="98">
        <f>+'Plan de Adquisiciones '!J86</f>
        <v>80111621</v>
      </c>
      <c r="K48" s="98" t="str">
        <f>+'Plan de Adquisiciones '!K86</f>
        <v>Profesional 222-06</v>
      </c>
      <c r="L48" s="98" t="str">
        <f>+'Plan de Adquisiciones '!L86</f>
        <v>Luisa Acuña</v>
      </c>
      <c r="M48" s="98" t="str">
        <f>+'Plan de Adquisiciones '!N86</f>
        <v>Febrero</v>
      </c>
      <c r="N48" s="98">
        <f>+'Plan de Adquisiciones '!O86</f>
        <v>9</v>
      </c>
      <c r="O48" s="98" t="str">
        <f>+'Plan de Adquisiciones '!P86</f>
        <v xml:space="preserve"> Contratación Directa</v>
      </c>
      <c r="P48" s="98" t="str">
        <f>+'Plan de Adquisiciones '!Q86</f>
        <v>Directa</v>
      </c>
      <c r="Q48" s="107">
        <f>+'Plan de Adquisiciones '!R86</f>
        <v>59755077</v>
      </c>
      <c r="R48" s="107">
        <f>+'Plan de Adquisiciones '!S86</f>
        <v>0</v>
      </c>
      <c r="S48" s="107">
        <f>+'Plan de Adquisiciones '!T86</f>
        <v>59755077</v>
      </c>
      <c r="T48" s="98">
        <f>+'Plan de Adquisiciones '!U86</f>
        <v>1</v>
      </c>
      <c r="U48" s="107">
        <f>+'Plan de Adquisiciones '!V86</f>
        <v>59755077</v>
      </c>
      <c r="V48" s="107">
        <f>+'Plan de Adquisiciones '!W86</f>
        <v>0</v>
      </c>
      <c r="W48" s="107">
        <f>+'Plan de Adquisiciones '!X86</f>
        <v>59755077</v>
      </c>
      <c r="X48" s="106">
        <f>+'Plan de Adquisiciones '!Y86</f>
        <v>42794</v>
      </c>
      <c r="Y48" s="98">
        <f>+'Plan de Adquisiciones '!Z86</f>
        <v>11</v>
      </c>
      <c r="Z48" s="108" t="str">
        <f>+'Plan de Adquisiciones '!AA86</f>
        <v>ADRIANA LONDOÑO CANCELADO</v>
      </c>
    </row>
    <row r="49" spans="1:26" ht="67.5" x14ac:dyDescent="0.25">
      <c r="A49" s="59" t="s">
        <v>163</v>
      </c>
      <c r="B49" s="75" t="s">
        <v>148</v>
      </c>
      <c r="C49" s="76" t="s">
        <v>131</v>
      </c>
      <c r="D49" s="59" t="s">
        <v>194</v>
      </c>
      <c r="E49" s="59" t="s">
        <v>31</v>
      </c>
      <c r="F49" s="98">
        <f>+'Plan de Adquisiciones '!F87</f>
        <v>0</v>
      </c>
      <c r="G49" s="98">
        <f>+'Plan de Adquisiciones '!G87</f>
        <v>154</v>
      </c>
      <c r="H49" s="98">
        <f>+'Plan de Adquisiciones '!H87</f>
        <v>0</v>
      </c>
      <c r="I49" s="98" t="str">
        <f>+'Plan de Adquisiciones '!I87</f>
        <v>Aunar esfuerzos para realizar procesos de cualificación en los tres niveles de acompañamiento a docentes y reconocimiento en territorio de experiencias pedagógicas significativas</v>
      </c>
      <c r="J49" s="98">
        <f>+'Plan de Adquisiciones '!J87</f>
        <v>80111621</v>
      </c>
      <c r="K49" s="98" t="str">
        <f>+'Plan de Adquisiciones '!K87</f>
        <v>Profesional 222-06</v>
      </c>
      <c r="L49" s="98" t="str">
        <f>+'Plan de Adquisiciones '!L87</f>
        <v>Luisa Acuña</v>
      </c>
      <c r="M49" s="98" t="str">
        <f>+'Plan de Adquisiciones '!N87</f>
        <v>Mayo</v>
      </c>
      <c r="N49" s="98">
        <f>+'Plan de Adquisiciones '!O87</f>
        <v>7</v>
      </c>
      <c r="O49" s="98" t="str">
        <f>+'Plan de Adquisiciones '!P87</f>
        <v xml:space="preserve"> Contratación Directa</v>
      </c>
      <c r="P49" s="98" t="str">
        <f>+'Plan de Adquisiciones '!Q87</f>
        <v>Directa</v>
      </c>
      <c r="Q49" s="107">
        <f>+'Plan de Adquisiciones '!R87</f>
        <v>200000000</v>
      </c>
      <c r="R49" s="107">
        <f>+'Plan de Adquisiciones '!S87</f>
        <v>0</v>
      </c>
      <c r="S49" s="107">
        <f>+'Plan de Adquisiciones '!T87</f>
        <v>200000000</v>
      </c>
      <c r="T49" s="98">
        <f>+'Plan de Adquisiciones '!U87</f>
        <v>1</v>
      </c>
      <c r="U49" s="107">
        <f>+'Plan de Adquisiciones '!V87</f>
        <v>200000000</v>
      </c>
      <c r="V49" s="107">
        <f>+'Plan de Adquisiciones '!W87</f>
        <v>0</v>
      </c>
      <c r="W49" s="107">
        <f>+'Plan de Adquisiciones '!X87</f>
        <v>200000000</v>
      </c>
      <c r="X49" s="106">
        <f>+'Plan de Adquisiciones '!Y87</f>
        <v>42864</v>
      </c>
      <c r="Y49" s="98">
        <f>+'Plan de Adquisiciones '!Z87</f>
        <v>77</v>
      </c>
      <c r="Z49" s="108" t="str">
        <f>+'Plan de Adquisiciones '!AA87</f>
        <v>UNIVERSIDAD DIStRITAL</v>
      </c>
    </row>
    <row r="50" spans="1:26" ht="78.75" x14ac:dyDescent="0.25">
      <c r="A50" s="59" t="s">
        <v>163</v>
      </c>
      <c r="B50" s="75" t="s">
        <v>148</v>
      </c>
      <c r="C50" s="76" t="s">
        <v>131</v>
      </c>
      <c r="D50" s="59" t="s">
        <v>194</v>
      </c>
      <c r="E50" s="59" t="s">
        <v>31</v>
      </c>
      <c r="F50" s="98">
        <f>+'Plan de Adquisiciones '!F88</f>
        <v>0</v>
      </c>
      <c r="G50" s="98">
        <f>+'Plan de Adquisiciones '!G88</f>
        <v>84</v>
      </c>
      <c r="H50" s="98">
        <f>+'Plan de Adquisiciones '!H88</f>
        <v>0</v>
      </c>
      <c r="I50" s="98" t="str">
        <f>+'Plan de Adquisiciones '!I88</f>
        <v>Prestación de servicios profesionales para realizar el apoyo administrativo del componente cualificación, investigación e innovación docente: comunidades de saber y práctica pedagógica</v>
      </c>
      <c r="J50" s="98">
        <f>+'Plan de Adquisiciones '!J88</f>
        <v>80111601</v>
      </c>
      <c r="K50" s="98" t="str">
        <f>+'Plan de Adquisiciones '!K88</f>
        <v xml:space="preserve">Asesor 105-02 </v>
      </c>
      <c r="L50" s="98" t="str">
        <f>+'Plan de Adquisiciones '!L88</f>
        <v>Edwin Ferley Ortíz</v>
      </c>
      <c r="M50" s="97" t="str">
        <f>+'Plan de Adquisiciones '!N70</f>
        <v>Abril</v>
      </c>
      <c r="N50" s="98">
        <f>+'Plan de Adquisiciones '!O88</f>
        <v>7</v>
      </c>
      <c r="O50" s="98" t="str">
        <f>+'Plan de Adquisiciones '!P88</f>
        <v xml:space="preserve"> Contratación Directa</v>
      </c>
      <c r="P50" s="98" t="str">
        <f>+'Plan de Adquisiciones '!Q88</f>
        <v>Directa</v>
      </c>
      <c r="Q50" s="107">
        <f>+'Plan de Adquisiciones '!R88</f>
        <v>40574435</v>
      </c>
      <c r="R50" s="107">
        <f>+'Plan de Adquisiciones '!S88</f>
        <v>0</v>
      </c>
      <c r="S50" s="107">
        <f>+'Plan de Adquisiciones '!T88</f>
        <v>40574435</v>
      </c>
      <c r="T50" s="98">
        <f>+'Plan de Adquisiciones '!U88</f>
        <v>1</v>
      </c>
      <c r="U50" s="107">
        <f>+'Plan de Adquisiciones '!V88</f>
        <v>40574435</v>
      </c>
      <c r="V50" s="107">
        <f>+'Plan de Adquisiciones '!W88</f>
        <v>0</v>
      </c>
      <c r="W50" s="107">
        <f>+'Plan de Adquisiciones '!X88</f>
        <v>40574435</v>
      </c>
      <c r="X50" s="106">
        <f>+'Plan de Adquisiciones '!Y88</f>
        <v>42766</v>
      </c>
      <c r="Y50" s="98">
        <f>+'Plan de Adquisiciones '!Z88</f>
        <v>3</v>
      </c>
      <c r="Z50" s="108" t="str">
        <f>+'Plan de Adquisiciones '!AA88</f>
        <v>DIANA CAROLINA MARTINEZ</v>
      </c>
    </row>
    <row r="51" spans="1:26" ht="101.25" x14ac:dyDescent="0.25">
      <c r="A51" s="59" t="s">
        <v>371</v>
      </c>
      <c r="B51" s="75" t="s">
        <v>148</v>
      </c>
      <c r="C51" s="76" t="s">
        <v>131</v>
      </c>
      <c r="D51" s="59" t="s">
        <v>194</v>
      </c>
      <c r="E51" s="59" t="s">
        <v>31</v>
      </c>
      <c r="F51" s="98">
        <f>+'Plan de Adquisiciones '!F89</f>
        <v>0</v>
      </c>
      <c r="G51" s="98">
        <f>+'Plan de Adquisiciones '!G89</f>
        <v>198</v>
      </c>
      <c r="H51" s="98">
        <f>+'Plan de Adquisiciones '!H89</f>
        <v>0</v>
      </c>
      <c r="I51" s="98" t="str">
        <f>+'Plan de Adquisiciones '!I89</f>
        <v>Prestación de servicios profesionales para orientar conceptual y metodológicamente la caracterización y consolidación  de experiencias pedagógicas en las localidades del Distrito Capital, en el marco del Convenio 1452 de 2017 en su componente 4.</v>
      </c>
      <c r="J51" s="98">
        <f>+'Plan de Adquisiciones '!J89</f>
        <v>80111621</v>
      </c>
      <c r="K51" s="98" t="str">
        <f>+'Plan de Adquisiciones '!K89</f>
        <v>Profesional Universitario 219-01</v>
      </c>
      <c r="L51" s="98" t="str">
        <f>+'Plan de Adquisiciones '!L89</f>
        <v>Andrea Bustamante</v>
      </c>
      <c r="M51" s="97" t="str">
        <f>+'Plan de Adquisiciones '!N89</f>
        <v>Abril</v>
      </c>
      <c r="N51" s="98">
        <f>+'Plan de Adquisiciones '!O89</f>
        <v>8</v>
      </c>
      <c r="O51" s="98" t="str">
        <f>+'Plan de Adquisiciones '!P89</f>
        <v xml:space="preserve"> Contratación Directa</v>
      </c>
      <c r="P51" s="98" t="str">
        <f>+'Plan de Adquisiciones '!Q89</f>
        <v>Directa</v>
      </c>
      <c r="Q51" s="107">
        <f>+'Plan de Adquisiciones '!R89</f>
        <v>73033983</v>
      </c>
      <c r="R51" s="107">
        <f>+'Plan de Adquisiciones '!S89</f>
        <v>0</v>
      </c>
      <c r="S51" s="107">
        <f>+'Plan de Adquisiciones '!T89</f>
        <v>73033983</v>
      </c>
      <c r="T51" s="98">
        <f>+'Plan de Adquisiciones '!U89</f>
        <v>1</v>
      </c>
      <c r="U51" s="107">
        <f>+'Plan de Adquisiciones '!V89</f>
        <v>73033983</v>
      </c>
      <c r="V51" s="107">
        <f>+'Plan de Adquisiciones '!W89</f>
        <v>0</v>
      </c>
      <c r="W51" s="107">
        <f>+'Plan de Adquisiciones '!X89</f>
        <v>73033983</v>
      </c>
      <c r="X51" s="106">
        <f>+'Plan de Adquisiciones '!Y89</f>
        <v>42844</v>
      </c>
      <c r="Y51" s="98">
        <f>+'Plan de Adquisiciones '!Z89</f>
        <v>53</v>
      </c>
      <c r="Z51" s="108" t="str">
        <f>+'Plan de Adquisiciones '!AA89</f>
        <v>ADRIANA LOPEZ CAMACHO</v>
      </c>
    </row>
    <row r="52" spans="1:26" ht="112.5" x14ac:dyDescent="0.25">
      <c r="A52" s="59" t="s">
        <v>372</v>
      </c>
      <c r="B52" s="75" t="s">
        <v>148</v>
      </c>
      <c r="C52" s="76" t="s">
        <v>131</v>
      </c>
      <c r="D52" s="59" t="s">
        <v>194</v>
      </c>
      <c r="E52" s="59" t="s">
        <v>31</v>
      </c>
      <c r="F52" s="98">
        <f>+'Plan de Adquisiciones '!F90</f>
        <v>0</v>
      </c>
      <c r="G52" s="98">
        <f>+'Plan de Adquisiciones '!G90</f>
        <v>199</v>
      </c>
      <c r="H52" s="98">
        <f>+'Plan de Adquisiciones '!H90</f>
        <v>0</v>
      </c>
      <c r="I52" s="98" t="str">
        <f>+'Plan de Adquisiciones '!I90</f>
        <v>Prestación de servicios profesionales para la implementación de la estrategia de educomunicación de las actividades realizadas por el IDEP en el marco de convenio 1452 de 2017 con el uso  y desarrollo de las Tecnologías de la Información y Comunicación, TIC.</v>
      </c>
      <c r="J52" s="98">
        <f>+'Plan de Adquisiciones '!J90</f>
        <v>80111621</v>
      </c>
      <c r="K52" s="98" t="str">
        <f>+'Plan de Adquisiciones '!K90</f>
        <v>Subdirector Académico</v>
      </c>
      <c r="L52" s="98" t="str">
        <f>+'Plan de Adquisiciones '!L90</f>
        <v>Juliana Gutiérrez</v>
      </c>
      <c r="M52" s="97" t="str">
        <f>+'Plan de Adquisiciones '!N71</f>
        <v>Mayo</v>
      </c>
      <c r="N52" s="98">
        <f>+'Plan de Adquisiciones '!O90</f>
        <v>8</v>
      </c>
      <c r="O52" s="98" t="str">
        <f>+'Plan de Adquisiciones '!P90</f>
        <v xml:space="preserve"> Contratación Directa</v>
      </c>
      <c r="P52" s="98" t="str">
        <f>+'Plan de Adquisiciones '!Q90</f>
        <v>Directa</v>
      </c>
      <c r="Q52" s="107">
        <f>+'Plan de Adquisiciones '!R90</f>
        <v>54319394</v>
      </c>
      <c r="R52" s="107">
        <f>+'Plan de Adquisiciones '!S90</f>
        <v>0</v>
      </c>
      <c r="S52" s="107">
        <f>+'Plan de Adquisiciones '!T90</f>
        <v>54319394</v>
      </c>
      <c r="T52" s="98">
        <f>+'Plan de Adquisiciones '!U90</f>
        <v>1</v>
      </c>
      <c r="U52" s="107">
        <f>+'Plan de Adquisiciones '!V90</f>
        <v>54319394</v>
      </c>
      <c r="V52" s="107">
        <f>+'Plan de Adquisiciones '!W90</f>
        <v>0</v>
      </c>
      <c r="W52" s="107">
        <f>+'Plan de Adquisiciones '!X90</f>
        <v>54319394</v>
      </c>
      <c r="X52" s="106">
        <f>+'Plan de Adquisiciones '!Y90</f>
        <v>42851</v>
      </c>
      <c r="Y52" s="98">
        <f>+'Plan de Adquisiciones '!Z90</f>
        <v>64</v>
      </c>
      <c r="Z52" s="108" t="str">
        <f>+'Plan de Adquisiciones '!AA90</f>
        <v>MARIA LUISA TRUJILLO MARTINEZ</v>
      </c>
    </row>
    <row r="53" spans="1:26" ht="123.75" x14ac:dyDescent="0.25">
      <c r="A53" s="59" t="s">
        <v>373</v>
      </c>
      <c r="B53" s="75" t="s">
        <v>148</v>
      </c>
      <c r="C53" s="76" t="s">
        <v>131</v>
      </c>
      <c r="D53" s="59" t="s">
        <v>194</v>
      </c>
      <c r="E53" s="59" t="s">
        <v>31</v>
      </c>
      <c r="F53" s="98">
        <f>+'Plan de Adquisiciones '!F91</f>
        <v>0</v>
      </c>
      <c r="G53" s="98">
        <f>+'Plan de Adquisiciones '!G91</f>
        <v>200</v>
      </c>
      <c r="H53" s="98">
        <f>+'Plan de Adquisiciones '!H91</f>
        <v>0</v>
      </c>
      <c r="I53" s="98" t="str">
        <f>+'Plan de Adquisiciones '!I91</f>
        <v xml:space="preserve">Prestación de servicios profesionales para realizar acciones de comunicación en los canales y medios institucionales, difusión externa, prensa y manejo de relaciones con medios de comunicación para la divulgación y socialización de las actividades realizadas por el IDEP en el marco del Convenio 1452 de 2017. </v>
      </c>
      <c r="J53" s="98">
        <f>+'Plan de Adquisiciones '!J91</f>
        <v>80111621</v>
      </c>
      <c r="K53" s="98" t="str">
        <f>+'Plan de Adquisiciones '!K91</f>
        <v>Subdirector Académico</v>
      </c>
      <c r="L53" s="98" t="str">
        <f>+'Plan de Adquisiciones '!L91</f>
        <v>Juliana Gutiérrez</v>
      </c>
      <c r="M53" s="98" t="str">
        <f>+'Plan de Adquisiciones '!N91</f>
        <v>Mayo</v>
      </c>
      <c r="N53" s="98">
        <f>+'Plan de Adquisiciones '!O91</f>
        <v>7</v>
      </c>
      <c r="O53" s="98" t="str">
        <f>+'Plan de Adquisiciones '!P91</f>
        <v xml:space="preserve"> Contratación Directa</v>
      </c>
      <c r="P53" s="98" t="str">
        <f>+'Plan de Adquisiciones '!Q91</f>
        <v>Directa</v>
      </c>
      <c r="Q53" s="107">
        <f>+'Plan de Adquisiciones '!R91</f>
        <v>35300040</v>
      </c>
      <c r="R53" s="107">
        <f>+'Plan de Adquisiciones '!S91</f>
        <v>0</v>
      </c>
      <c r="S53" s="107">
        <f>+'Plan de Adquisiciones '!T91</f>
        <v>35300040</v>
      </c>
      <c r="T53" s="98">
        <f>+'Plan de Adquisiciones '!U91</f>
        <v>1</v>
      </c>
      <c r="U53" s="107">
        <f>+'Plan de Adquisiciones '!V91</f>
        <v>35300040</v>
      </c>
      <c r="V53" s="107">
        <f>+'Plan de Adquisiciones '!W91</f>
        <v>0</v>
      </c>
      <c r="W53" s="107">
        <f>+'Plan de Adquisiciones '!X91</f>
        <v>35300040</v>
      </c>
      <c r="X53" s="106">
        <f>+'Plan de Adquisiciones '!Y91</f>
        <v>42865</v>
      </c>
      <c r="Y53" s="98">
        <f>+'Plan de Adquisiciones '!Z91</f>
        <v>78</v>
      </c>
      <c r="Z53" s="108" t="str">
        <f>+'Plan de Adquisiciones '!AA91</f>
        <v>RICHAR ROMO GUASCAS</v>
      </c>
    </row>
    <row r="54" spans="1:26" ht="56.25" x14ac:dyDescent="0.25">
      <c r="A54" s="59" t="s">
        <v>374</v>
      </c>
      <c r="B54" s="75" t="s">
        <v>148</v>
      </c>
      <c r="C54" s="76" t="s">
        <v>131</v>
      </c>
      <c r="D54" s="59" t="s">
        <v>194</v>
      </c>
      <c r="E54" s="59" t="s">
        <v>31</v>
      </c>
      <c r="F54" s="98" t="e">
        <f>+'Plan de Adquisiciones '!#REF!</f>
        <v>#REF!</v>
      </c>
      <c r="G54" s="98" t="e">
        <f>+'Plan de Adquisiciones '!#REF!</f>
        <v>#REF!</v>
      </c>
      <c r="H54" s="98" t="e">
        <f>+'Plan de Adquisiciones '!#REF!</f>
        <v>#REF!</v>
      </c>
      <c r="I54" s="98" t="e">
        <f>+'Plan de Adquisiciones '!#REF!</f>
        <v>#REF!</v>
      </c>
      <c r="J54" s="98" t="e">
        <f>+'Plan de Adquisiciones '!#REF!</f>
        <v>#REF!</v>
      </c>
      <c r="K54" s="98" t="e">
        <f>+'Plan de Adquisiciones '!#REF!</f>
        <v>#REF!</v>
      </c>
      <c r="L54" s="98" t="e">
        <f>+'Plan de Adquisiciones '!#REF!</f>
        <v>#REF!</v>
      </c>
      <c r="M54" s="98" t="e">
        <f>+'Plan de Adquisiciones '!#REF!</f>
        <v>#REF!</v>
      </c>
      <c r="N54" s="98" t="e">
        <f>+'Plan de Adquisiciones '!#REF!</f>
        <v>#REF!</v>
      </c>
      <c r="O54" s="98" t="e">
        <f>+'Plan de Adquisiciones '!#REF!</f>
        <v>#REF!</v>
      </c>
      <c r="P54" s="98" t="e">
        <f>+'Plan de Adquisiciones '!#REF!</f>
        <v>#REF!</v>
      </c>
      <c r="Q54" s="107" t="e">
        <f>+'Plan de Adquisiciones '!#REF!</f>
        <v>#REF!</v>
      </c>
      <c r="R54" s="107" t="e">
        <f>+'Plan de Adquisiciones '!#REF!</f>
        <v>#REF!</v>
      </c>
      <c r="S54" s="107" t="e">
        <f>+'Plan de Adquisiciones '!#REF!</f>
        <v>#REF!</v>
      </c>
      <c r="T54" s="98" t="e">
        <f>+'Plan de Adquisiciones '!#REF!</f>
        <v>#REF!</v>
      </c>
      <c r="U54" s="107" t="e">
        <f>+'Plan de Adquisiciones '!#REF!</f>
        <v>#REF!</v>
      </c>
      <c r="V54" s="107" t="e">
        <f>+'Plan de Adquisiciones '!#REF!</f>
        <v>#REF!</v>
      </c>
      <c r="W54" s="107" t="e">
        <f>+'Plan de Adquisiciones '!#REF!</f>
        <v>#REF!</v>
      </c>
      <c r="X54" s="106"/>
      <c r="Y54" s="98" t="e">
        <f>+'Plan de Adquisiciones '!#REF!</f>
        <v>#REF!</v>
      </c>
      <c r="Z54" s="108" t="e">
        <f>+'Plan de Adquisiciones '!#REF!</f>
        <v>#REF!</v>
      </c>
    </row>
    <row r="55" spans="1:26" ht="90" x14ac:dyDescent="0.25">
      <c r="A55" s="59" t="s">
        <v>375</v>
      </c>
      <c r="B55" s="75" t="s">
        <v>148</v>
      </c>
      <c r="C55" s="76" t="s">
        <v>131</v>
      </c>
      <c r="D55" s="59" t="s">
        <v>194</v>
      </c>
      <c r="E55" s="59" t="s">
        <v>31</v>
      </c>
      <c r="F55" s="98">
        <f>+'Plan de Adquisiciones '!F92</f>
        <v>0</v>
      </c>
      <c r="G55" s="98">
        <f>+'Plan de Adquisiciones '!G92</f>
        <v>232</v>
      </c>
      <c r="H55" s="98">
        <f>+'Plan de Adquisiciones '!H92</f>
        <v>0</v>
      </c>
      <c r="I55" s="98" t="str">
        <f>+'Plan de Adquisiciones '!I92</f>
        <v>Prestación de servicios profesionales para realizar la caracterización y consolidación  de experiencias pedagógicas en las localidades 4, 5, 6, 19, 20 del Distrito Capital, en el marco del Convenio 1452 de 2017 en su componente 4.</v>
      </c>
      <c r="J55" s="98">
        <f>+'Plan de Adquisiciones '!J92</f>
        <v>80111621</v>
      </c>
      <c r="K55" s="98" t="str">
        <f>+'Plan de Adquisiciones '!K92</f>
        <v>Profesional Universitario 219-01</v>
      </c>
      <c r="L55" s="98" t="str">
        <f>+'Plan de Adquisiciones '!L92</f>
        <v>Andrea Bustamante</v>
      </c>
      <c r="M55" s="97" t="str">
        <f>+'Plan de Adquisiciones '!N75</f>
        <v>Febrero</v>
      </c>
      <c r="N55" s="98">
        <f>+'Plan de Adquisiciones '!O92</f>
        <v>7</v>
      </c>
      <c r="O55" s="98" t="str">
        <f>+'Plan de Adquisiciones '!P92</f>
        <v xml:space="preserve"> Contratación Directa</v>
      </c>
      <c r="P55" s="98" t="str">
        <f>+'Plan de Adquisiciones '!Q92</f>
        <v>Directa</v>
      </c>
      <c r="Q55" s="107">
        <f>+'Plan de Adquisiciones '!R92</f>
        <v>3981659</v>
      </c>
      <c r="R55" s="107">
        <f>+'Plan de Adquisiciones '!S92</f>
        <v>42494512</v>
      </c>
      <c r="S55" s="107">
        <f>+'Plan de Adquisiciones '!T92</f>
        <v>46476171</v>
      </c>
      <c r="T55" s="98">
        <f>+'Plan de Adquisiciones '!U92</f>
        <v>1</v>
      </c>
      <c r="U55" s="107">
        <f>+'Plan de Adquisiciones '!V92</f>
        <v>3981659</v>
      </c>
      <c r="V55" s="107">
        <f>+'Plan de Adquisiciones '!W92</f>
        <v>42494512</v>
      </c>
      <c r="W55" s="107">
        <f>+'Plan de Adquisiciones '!X92</f>
        <v>46476171</v>
      </c>
      <c r="X55" s="106">
        <f>+'Plan de Adquisiciones '!Y92</f>
        <v>42849</v>
      </c>
      <c r="Y55" s="98">
        <f>+'Plan de Adquisiciones '!Z92</f>
        <v>57</v>
      </c>
      <c r="Z55" s="108" t="str">
        <f>+'Plan de Adquisiciones '!AA92</f>
        <v>NADIA JOHANA HERNANDEZ ORDOÑEZ</v>
      </c>
    </row>
    <row r="56" spans="1:26" ht="90" x14ac:dyDescent="0.25">
      <c r="A56" s="59" t="s">
        <v>376</v>
      </c>
      <c r="B56" s="75" t="s">
        <v>148</v>
      </c>
      <c r="C56" s="76" t="s">
        <v>131</v>
      </c>
      <c r="D56" s="59" t="s">
        <v>194</v>
      </c>
      <c r="E56" s="59" t="s">
        <v>31</v>
      </c>
      <c r="F56" s="98">
        <f>+'Plan de Adquisiciones '!F93</f>
        <v>0</v>
      </c>
      <c r="G56" s="98">
        <f>+'Plan de Adquisiciones '!G93</f>
        <v>233</v>
      </c>
      <c r="H56" s="98">
        <f>+'Plan de Adquisiciones '!H93</f>
        <v>0</v>
      </c>
      <c r="I56" s="98" t="str">
        <f>+'Plan de Adquisiciones '!I93</f>
        <v>Prestación de servicios profesionales para realizar la caracterización y consolidación  de experiencias pedagógicas en las localidades  1, 2, 3, 10, 11, 12, 13, 16, 17 del Distrito Capital, en el marco del Convenio 1452 de 2017 en su componente 4.</v>
      </c>
      <c r="J56" s="98">
        <f>+'Plan de Adquisiciones '!J93</f>
        <v>80111621</v>
      </c>
      <c r="K56" s="98" t="str">
        <f>+'Plan de Adquisiciones '!K93</f>
        <v>Profesional Universitario 219-01</v>
      </c>
      <c r="L56" s="98" t="str">
        <f>+'Plan de Adquisiciones '!L93</f>
        <v>Andrea Bustamante</v>
      </c>
      <c r="M56" s="97" t="str">
        <f>+'Plan de Adquisiciones '!N93</f>
        <v>Abril</v>
      </c>
      <c r="N56" s="98">
        <f>+'Plan de Adquisiciones '!O93</f>
        <v>7</v>
      </c>
      <c r="O56" s="98" t="str">
        <f>+'Plan de Adquisiciones '!P93</f>
        <v xml:space="preserve"> Contratación Directa</v>
      </c>
      <c r="P56" s="98" t="str">
        <f>+'Plan de Adquisiciones '!Q93</f>
        <v>Directa</v>
      </c>
      <c r="Q56" s="107">
        <f>+'Plan de Adquisiciones '!R93</f>
        <v>0</v>
      </c>
      <c r="R56" s="107">
        <f>+'Plan de Adquisiciones '!S93</f>
        <v>46476171</v>
      </c>
      <c r="S56" s="107">
        <f>+'Plan de Adquisiciones '!T93</f>
        <v>46476171</v>
      </c>
      <c r="T56" s="98">
        <f>+'Plan de Adquisiciones '!U93</f>
        <v>1</v>
      </c>
      <c r="U56" s="107">
        <f>+'Plan de Adquisiciones '!V93</f>
        <v>0</v>
      </c>
      <c r="V56" s="107">
        <f>+'Plan de Adquisiciones '!W93</f>
        <v>46476171</v>
      </c>
      <c r="W56" s="107">
        <f>+'Plan de Adquisiciones '!X93</f>
        <v>46476171</v>
      </c>
      <c r="X56" s="106">
        <f>+'Plan de Adquisiciones '!Y93</f>
        <v>42850</v>
      </c>
      <c r="Y56" s="98">
        <f>+'Plan de Adquisiciones '!Z93</f>
        <v>59</v>
      </c>
      <c r="Z56" s="108" t="str">
        <f>+'Plan de Adquisiciones '!AA93</f>
        <v>ANDREA OSORIO VILLADA</v>
      </c>
    </row>
    <row r="57" spans="1:26" ht="90" x14ac:dyDescent="0.25">
      <c r="A57" s="59" t="s">
        <v>377</v>
      </c>
      <c r="B57" s="75" t="s">
        <v>148</v>
      </c>
      <c r="C57" s="76" t="s">
        <v>131</v>
      </c>
      <c r="D57" s="59" t="s">
        <v>194</v>
      </c>
      <c r="E57" s="59" t="s">
        <v>31</v>
      </c>
      <c r="F57" s="98">
        <f>+'Plan de Adquisiciones '!F94</f>
        <v>0</v>
      </c>
      <c r="G57" s="98">
        <f>+'Plan de Adquisiciones '!G94</f>
        <v>234</v>
      </c>
      <c r="H57" s="98">
        <f>+'Plan de Adquisiciones '!H94</f>
        <v>0</v>
      </c>
      <c r="I57" s="98" t="str">
        <f>+'Plan de Adquisiciones '!I94</f>
        <v>Prestación de servicios profesionales para realizar la caracterización y consolidación  de experiencias pedagógicas en las localidades 7, 8, 9, 14, 15, 18 del Distrito Capital, en el marco del Convenio 1452 de 2017 en su componente 4.</v>
      </c>
      <c r="J57" s="98">
        <f>+'Plan de Adquisiciones '!J94</f>
        <v>80111621</v>
      </c>
      <c r="K57" s="98" t="str">
        <f>+'Plan de Adquisiciones '!K94</f>
        <v>Profesional Universitario 219-01</v>
      </c>
      <c r="L57" s="98" t="str">
        <f>+'Plan de Adquisiciones '!L94</f>
        <v>Andrea Bustamante</v>
      </c>
      <c r="M57" s="97" t="e">
        <f>+'Plan de Adquisiciones '!#REF!</f>
        <v>#REF!</v>
      </c>
      <c r="N57" s="98">
        <f>+'Plan de Adquisiciones '!O94</f>
        <v>7</v>
      </c>
      <c r="O57" s="98" t="str">
        <f>+'Plan de Adquisiciones '!P94</f>
        <v xml:space="preserve"> Contratación Directa</v>
      </c>
      <c r="P57" s="98" t="str">
        <f>+'Plan de Adquisiciones '!Q94</f>
        <v>Directa</v>
      </c>
      <c r="Q57" s="107">
        <f>+'Plan de Adquisiciones '!R94</f>
        <v>0</v>
      </c>
      <c r="R57" s="107">
        <f>+'Plan de Adquisiciones '!S94</f>
        <v>46476171</v>
      </c>
      <c r="S57" s="107">
        <f>+'Plan de Adquisiciones '!T94</f>
        <v>46476171</v>
      </c>
      <c r="T57" s="98">
        <f>+'Plan de Adquisiciones '!U94</f>
        <v>1</v>
      </c>
      <c r="U57" s="107">
        <f>+'Plan de Adquisiciones '!V94</f>
        <v>0</v>
      </c>
      <c r="V57" s="107">
        <f>+'Plan de Adquisiciones '!W94</f>
        <v>46476171</v>
      </c>
      <c r="W57" s="107">
        <f>+'Plan de Adquisiciones '!X94</f>
        <v>46476171</v>
      </c>
      <c r="X57" s="106">
        <f>+'Plan de Adquisiciones '!Y94</f>
        <v>42850</v>
      </c>
      <c r="Y57" s="98">
        <f>+'Plan de Adquisiciones '!Z94</f>
        <v>58</v>
      </c>
      <c r="Z57" s="108" t="str">
        <f>+'Plan de Adquisiciones '!AA94</f>
        <v>JUAN NIETO MOLINA</v>
      </c>
    </row>
    <row r="58" spans="1:26" ht="56.25" x14ac:dyDescent="0.25">
      <c r="A58" s="59" t="s">
        <v>378</v>
      </c>
      <c r="B58" s="75" t="s">
        <v>148</v>
      </c>
      <c r="C58" s="76" t="s">
        <v>131</v>
      </c>
      <c r="D58" s="59" t="s">
        <v>194</v>
      </c>
      <c r="E58" s="59" t="s">
        <v>31</v>
      </c>
      <c r="F58" s="98">
        <f>+'Plan de Adquisiciones '!F95</f>
        <v>0</v>
      </c>
      <c r="G58" s="98">
        <f>+'Plan de Adquisiciones '!G95</f>
        <v>235</v>
      </c>
      <c r="H58" s="98">
        <f>+'Plan de Adquisiciones '!H95</f>
        <v>0</v>
      </c>
      <c r="I58" s="98" t="str">
        <f>+'Plan de Adquisiciones '!I95</f>
        <v>Prestación de servicios profesionales para realizar el apoyo administrativo, en el marco del Convenio 1452 de 2017 en su componente 4.</v>
      </c>
      <c r="J58" s="98">
        <f>+'Plan de Adquisiciones '!J95</f>
        <v>80111621</v>
      </c>
      <c r="K58" s="98" t="str">
        <f>+'Plan de Adquisiciones '!K95</f>
        <v>Profesional Universitario 219-01</v>
      </c>
      <c r="L58" s="98" t="str">
        <f>+'Plan de Adquisiciones '!L95</f>
        <v>Andrea Bustamante</v>
      </c>
      <c r="M58" s="97" t="str">
        <f>+'Plan de Adquisiciones '!N77</f>
        <v>Abril</v>
      </c>
      <c r="N58" s="98">
        <f>+'Plan de Adquisiciones '!O95</f>
        <v>8</v>
      </c>
      <c r="O58" s="98" t="str">
        <f>+'Plan de Adquisiciones '!P95</f>
        <v xml:space="preserve"> Contratación Directa</v>
      </c>
      <c r="P58" s="98" t="str">
        <f>+'Plan de Adquisiciones '!Q95</f>
        <v>Directa</v>
      </c>
      <c r="Q58" s="107">
        <f>+'Plan de Adquisiciones '!R95</f>
        <v>0</v>
      </c>
      <c r="R58" s="107">
        <f>+'Plan de Adquisiciones '!S95</f>
        <v>32505654</v>
      </c>
      <c r="S58" s="107">
        <f>+'Plan de Adquisiciones '!T95</f>
        <v>32505654</v>
      </c>
      <c r="T58" s="98">
        <f>+'Plan de Adquisiciones '!U95</f>
        <v>1</v>
      </c>
      <c r="U58" s="107">
        <f>+'Plan de Adquisiciones '!V95</f>
        <v>0</v>
      </c>
      <c r="V58" s="107">
        <f>+'Plan de Adquisiciones '!W95</f>
        <v>32505654</v>
      </c>
      <c r="W58" s="107">
        <f>+'Plan de Adquisiciones '!X95</f>
        <v>32505654</v>
      </c>
      <c r="X58" s="106">
        <f>+'Plan de Adquisiciones '!Y95</f>
        <v>42843</v>
      </c>
      <c r="Y58" s="98">
        <f>+'Plan de Adquisiciones '!Z95</f>
        <v>46</v>
      </c>
      <c r="Z58" s="108" t="str">
        <f>+'Plan de Adquisiciones '!AA95</f>
        <v>BETTY BLANCO SANDOVAL</v>
      </c>
    </row>
    <row r="59" spans="1:26" ht="180" x14ac:dyDescent="0.25">
      <c r="A59" s="59" t="s">
        <v>379</v>
      </c>
      <c r="B59" s="75" t="s">
        <v>148</v>
      </c>
      <c r="C59" s="76" t="s">
        <v>131</v>
      </c>
      <c r="D59" s="59" t="s">
        <v>194</v>
      </c>
      <c r="E59" s="59" t="s">
        <v>31</v>
      </c>
      <c r="F59" s="98">
        <f>+'Plan de Adquisiciones '!F96</f>
        <v>0</v>
      </c>
      <c r="G59" s="98">
        <f>+'Plan de Adquisiciones '!G96</f>
        <v>258</v>
      </c>
      <c r="H59" s="98">
        <f>+'Plan de Adquisiciones '!H96</f>
        <v>0</v>
      </c>
      <c r="I59" s="98" t="str">
        <f>+'Plan de Adquisiciones '!I96</f>
        <v>Prestación de servicios para apoyar en la actualización y consolidación del mapeo realizado por la SED y el IDEP en el  2016, para alimentar las aplicaciones de georeferenciación del IDECA (Mapas Bogotá y plataformas asociadas), que permitan visibilizar el resultado del mapeo de las experiencias de investigación, innovación educativa y redes pedagógicas de Bogotá, en el marco del Convenio 1452 de 2017 en su componente 4.</v>
      </c>
      <c r="J59" s="98">
        <f>+'Plan de Adquisiciones '!J96</f>
        <v>80111621</v>
      </c>
      <c r="K59" s="98" t="str">
        <f>+'Plan de Adquisiciones '!K96</f>
        <v xml:space="preserve">Asesor 105-02 </v>
      </c>
      <c r="L59" s="98" t="str">
        <f>+'Plan de Adquisiciones '!L96</f>
        <v>Edwin Ferley Ortíz</v>
      </c>
      <c r="M59" s="98" t="str">
        <f>+'Plan de Adquisiciones '!N96</f>
        <v>Junio</v>
      </c>
      <c r="N59" s="98">
        <f>+'Plan de Adquisiciones '!O96</f>
        <v>5</v>
      </c>
      <c r="O59" s="98" t="str">
        <f>+'Plan de Adquisiciones '!P96</f>
        <v xml:space="preserve"> Contratación Directa</v>
      </c>
      <c r="P59" s="98" t="str">
        <f>+'Plan de Adquisiciones '!Q96</f>
        <v>Directa</v>
      </c>
      <c r="Q59" s="107">
        <f>+'Plan de Adquisiciones '!R96</f>
        <v>33364924</v>
      </c>
      <c r="R59" s="107">
        <f>+'Plan de Adquisiciones '!S96</f>
        <v>125650016</v>
      </c>
      <c r="S59" s="107">
        <f>+'Plan de Adquisiciones '!T96</f>
        <v>159014940</v>
      </c>
      <c r="T59" s="98">
        <f>+'Plan de Adquisiciones '!U96</f>
        <v>0</v>
      </c>
      <c r="U59" s="107">
        <f>+'Plan de Adquisiciones '!V96</f>
        <v>33364924</v>
      </c>
      <c r="V59" s="107">
        <f>+'Plan de Adquisiciones '!W96</f>
        <v>125650016</v>
      </c>
      <c r="W59" s="107">
        <f>+'Plan de Adquisiciones '!X96</f>
        <v>159014940</v>
      </c>
      <c r="X59" s="106"/>
      <c r="Y59" s="98">
        <f>+'Plan de Adquisiciones '!Z96</f>
        <v>94</v>
      </c>
      <c r="Z59" s="108" t="str">
        <f>+'Plan de Adquisiciones '!AA96</f>
        <v>CORPORACION MIXTA PARA LA INVESTIGACION Y DESARROLLO DE LA EDUCACION - CORPOEDUCACION</v>
      </c>
    </row>
    <row r="60" spans="1:26" ht="135" x14ac:dyDescent="0.25">
      <c r="A60" s="59" t="s">
        <v>380</v>
      </c>
      <c r="B60" s="75" t="s">
        <v>148</v>
      </c>
      <c r="C60" s="76" t="s">
        <v>131</v>
      </c>
      <c r="D60" s="59" t="s">
        <v>194</v>
      </c>
      <c r="E60" s="59" t="s">
        <v>31</v>
      </c>
      <c r="F60" s="98">
        <f>+'Plan de Adquisiciones '!F99</f>
        <v>0</v>
      </c>
      <c r="G60" s="98">
        <f>+'Plan de Adquisiciones '!G99</f>
        <v>279</v>
      </c>
      <c r="H60" s="98">
        <f>+'Plan de Adquisiciones '!H99</f>
        <v>0</v>
      </c>
      <c r="I60" s="98" t="str">
        <f>+'Plan de Adquisiciones '!I99</f>
        <v xml:space="preserve">Prestación de servicio profesionales para desarrollar una estrategia de comunicación y divulgación de las acciones que realizan docentes investigadores, innovadores y redes pedagógicas que propicien intercambio de saberes en la ciudad de Bogotá, en el marco del Convenio 1452 de 2017 en su componente 4.
</v>
      </c>
      <c r="J60" s="98">
        <f>+'Plan de Adquisiciones '!J99</f>
        <v>80111621</v>
      </c>
      <c r="K60" s="98" t="str">
        <f>+'Plan de Adquisiciones '!K99</f>
        <v>Profesional 222-05</v>
      </c>
      <c r="L60" s="98" t="str">
        <f>+'Plan de Adquisiciones '!L99</f>
        <v>Amanda Cortés</v>
      </c>
      <c r="M60" s="98" t="str">
        <f>+'Plan de Adquisiciones '!N99</f>
        <v>Junio</v>
      </c>
      <c r="N60" s="98">
        <f>+'Plan de Adquisiciones '!O99</f>
        <v>6</v>
      </c>
      <c r="O60" s="98" t="str">
        <f>+'Plan de Adquisiciones '!P99</f>
        <v xml:space="preserve"> Contratación Directa</v>
      </c>
      <c r="P60" s="98" t="str">
        <f>+'Plan de Adquisiciones '!Q99</f>
        <v>Directa</v>
      </c>
      <c r="Q60" s="107">
        <f>+'Plan de Adquisiciones '!R99</f>
        <v>0</v>
      </c>
      <c r="R60" s="107">
        <f>+'Plan de Adquisiciones '!S99</f>
        <v>202000000</v>
      </c>
      <c r="S60" s="107">
        <f>+'Plan de Adquisiciones '!T99</f>
        <v>202000000</v>
      </c>
      <c r="T60" s="98">
        <f>+'Plan de Adquisiciones '!U99</f>
        <v>0</v>
      </c>
      <c r="U60" s="107">
        <f>+'Plan de Adquisiciones '!V99</f>
        <v>0</v>
      </c>
      <c r="V60" s="107">
        <f>+'Plan de Adquisiciones '!W99</f>
        <v>202000000</v>
      </c>
      <c r="W60" s="107">
        <f>+'Plan de Adquisiciones '!X99</f>
        <v>202000000</v>
      </c>
      <c r="X60" s="106"/>
      <c r="Y60" s="98">
        <f>+'Plan de Adquisiciones '!Z99</f>
        <v>95</v>
      </c>
      <c r="Z60" s="108" t="str">
        <f>+'Plan de Adquisiciones '!AA99</f>
        <v>UNIVERSIDAD EAFIT</v>
      </c>
    </row>
    <row r="61" spans="1:26" ht="78.75" x14ac:dyDescent="0.25">
      <c r="A61" s="59" t="s">
        <v>381</v>
      </c>
      <c r="B61" s="75" t="s">
        <v>148</v>
      </c>
      <c r="C61" s="76" t="s">
        <v>131</v>
      </c>
      <c r="D61" s="59" t="s">
        <v>194</v>
      </c>
      <c r="E61" s="59" t="s">
        <v>31</v>
      </c>
      <c r="F61" s="98">
        <f>+'Plan de Adquisiciones '!F100</f>
        <v>0</v>
      </c>
      <c r="G61" s="98">
        <f>+'Plan de Adquisiciones '!G100</f>
        <v>280</v>
      </c>
      <c r="H61" s="98">
        <f>+'Plan de Adquisiciones '!H100</f>
        <v>0</v>
      </c>
      <c r="I61" s="98" t="str">
        <f>+'Plan de Adquisiciones '!I100</f>
        <v>Prestación de servicios profesionales para fortalecer e impulsar la Red de innovación del Distrito a través del apoyo a las redes pedagógicas, en el marco del Convenio 1452 de 2017 en su componente 4.</v>
      </c>
      <c r="J61" s="98">
        <f>+'Plan de Adquisiciones '!J100</f>
        <v>80111621</v>
      </c>
      <c r="K61" s="98" t="str">
        <f>+'Plan de Adquisiciones '!K100</f>
        <v>Profesional 222-05</v>
      </c>
      <c r="L61" s="98" t="str">
        <f>+'Plan de Adquisiciones '!L100</f>
        <v>Amanda Cortés</v>
      </c>
      <c r="M61" s="98" t="str">
        <f>+'Plan de Adquisiciones '!N100</f>
        <v>Junio</v>
      </c>
      <c r="N61" s="98">
        <f>+'Plan de Adquisiciones '!O100</f>
        <v>6</v>
      </c>
      <c r="O61" s="98" t="str">
        <f>+'Plan de Adquisiciones '!P100</f>
        <v xml:space="preserve"> Contratación Directa</v>
      </c>
      <c r="P61" s="98" t="str">
        <f>+'Plan de Adquisiciones '!Q100</f>
        <v>Directa</v>
      </c>
      <c r="Q61" s="107">
        <f>+'Plan de Adquisiciones '!R100</f>
        <v>0</v>
      </c>
      <c r="R61" s="107">
        <f>+'Plan de Adquisiciones '!S100</f>
        <v>100000000</v>
      </c>
      <c r="S61" s="107">
        <f>+'Plan de Adquisiciones '!T100</f>
        <v>100000000</v>
      </c>
      <c r="T61" s="98">
        <f>+'Plan de Adquisiciones '!U100</f>
        <v>0</v>
      </c>
      <c r="U61" s="107">
        <f>+'Plan de Adquisiciones '!V100</f>
        <v>0</v>
      </c>
      <c r="V61" s="107">
        <f>+'Plan de Adquisiciones '!W100</f>
        <v>100000000</v>
      </c>
      <c r="W61" s="107">
        <f>+'Plan de Adquisiciones '!X100</f>
        <v>100000000</v>
      </c>
      <c r="X61" s="106"/>
      <c r="Y61" s="98">
        <f>+'Plan de Adquisiciones '!Z100</f>
        <v>96</v>
      </c>
      <c r="Z61" s="108" t="str">
        <f>+'Plan de Adquisiciones '!AA100</f>
        <v>CORPORACIÓN MAGISTERIO</v>
      </c>
    </row>
    <row r="62" spans="1:26" ht="90" x14ac:dyDescent="0.25">
      <c r="A62" s="59" t="s">
        <v>382</v>
      </c>
      <c r="B62" s="75" t="s">
        <v>148</v>
      </c>
      <c r="C62" s="76" t="s">
        <v>131</v>
      </c>
      <c r="D62" s="59" t="s">
        <v>366</v>
      </c>
      <c r="E62" s="59" t="s">
        <v>365</v>
      </c>
      <c r="F62" s="98" t="str">
        <f>+'Plan de Adquisiciones '!F103</f>
        <v>Estudio Escuela Curriculo y Pedagogía: Prácticas de Evaluación componente 2</v>
      </c>
      <c r="G62" s="98">
        <f>+'Plan de Adquisiciones '!G103</f>
        <v>224</v>
      </c>
      <c r="H62" s="98">
        <f>+'Plan de Adquisiciones '!H103</f>
        <v>0</v>
      </c>
      <c r="I62" s="98" t="str">
        <f>+'Plan de Adquisiciones '!I103</f>
        <v>Prestación de servicios profesionales para orientar conceptual y metodológicamente el estudio sobre prácticas de evaluación,  en el marco del convenio  1452  de 2017 en su componente 1.</v>
      </c>
      <c r="J62" s="98">
        <f>+'Plan de Adquisiciones '!J103</f>
        <v>80111621</v>
      </c>
      <c r="K62" s="98" t="str">
        <f>+'Plan de Adquisiciones '!K103</f>
        <v xml:space="preserve"> Profesional 222-06.</v>
      </c>
      <c r="L62" s="98" t="str">
        <f>+'Plan de Adquisiciones '!L103</f>
        <v>Luisa Acuña</v>
      </c>
      <c r="M62" s="97" t="str">
        <f>+'Plan de Adquisiciones '!N81</f>
        <v>Marzo</v>
      </c>
      <c r="N62" s="98">
        <f>+'Plan de Adquisiciones '!O103</f>
        <v>8</v>
      </c>
      <c r="O62" s="98" t="str">
        <f>+'Plan de Adquisiciones '!P103</f>
        <v xml:space="preserve"> Contratación Directa</v>
      </c>
      <c r="P62" s="98" t="str">
        <f>+'Plan de Adquisiciones '!Q103</f>
        <v>Directa</v>
      </c>
      <c r="Q62" s="107">
        <f>+'Plan de Adquisiciones '!R103</f>
        <v>73040000</v>
      </c>
      <c r="R62" s="107">
        <f>+'Plan de Adquisiciones '!S103</f>
        <v>0</v>
      </c>
      <c r="S62" s="107">
        <f>+'Plan de Adquisiciones '!T103</f>
        <v>73040000</v>
      </c>
      <c r="T62" s="98">
        <f>+'Plan de Adquisiciones '!U103</f>
        <v>1</v>
      </c>
      <c r="U62" s="107">
        <f>+'Plan de Adquisiciones '!V103</f>
        <v>73040000</v>
      </c>
      <c r="V62" s="107">
        <f>+'Plan de Adquisiciones '!W103</f>
        <v>0</v>
      </c>
      <c r="W62" s="107">
        <f>+'Plan de Adquisiciones '!X103</f>
        <v>73040000</v>
      </c>
      <c r="X62" s="106">
        <f>+'Plan de Adquisiciones '!Y103</f>
        <v>42844</v>
      </c>
      <c r="Y62" s="98">
        <f>+'Plan de Adquisiciones '!Z103</f>
        <v>49</v>
      </c>
      <c r="Z62" s="108" t="str">
        <f>+'Plan de Adquisiciones '!AA103</f>
        <v>LUIS ALFONSO TAMAYO VALENCIA</v>
      </c>
    </row>
    <row r="63" spans="1:26" ht="101.25" x14ac:dyDescent="0.25">
      <c r="A63" s="59" t="s">
        <v>383</v>
      </c>
      <c r="B63" s="75" t="s">
        <v>148</v>
      </c>
      <c r="C63" s="76" t="s">
        <v>131</v>
      </c>
      <c r="D63" s="59" t="s">
        <v>366</v>
      </c>
      <c r="E63" s="59" t="s">
        <v>365</v>
      </c>
      <c r="F63" s="98">
        <f>+'Plan de Adquisiciones '!F104</f>
        <v>0</v>
      </c>
      <c r="G63" s="98">
        <f>+'Plan de Adquisiciones '!G104</f>
        <v>225</v>
      </c>
      <c r="H63" s="98">
        <f>+'Plan de Adquisiciones '!H104</f>
        <v>0</v>
      </c>
      <c r="I63" s="98" t="str">
        <f>+'Plan de Adquisiciones '!I104</f>
        <v>Prestación de servicios profesionales para realizar los lineamientos conceptuales y metodológicos  para  la creación de una RED de Instituciones por la Evaluación en el Distrito Capital, en el marco del Convenio  1452   de 2017 en su componente 1</v>
      </c>
      <c r="J63" s="98">
        <f>+'Plan de Adquisiciones '!J104</f>
        <v>80111621</v>
      </c>
      <c r="K63" s="98" t="str">
        <f>+'Plan de Adquisiciones '!K104</f>
        <v xml:space="preserve"> Profesional 222-06.</v>
      </c>
      <c r="L63" s="98" t="str">
        <f>+'Plan de Adquisiciones '!L104</f>
        <v>Luisa Acuña</v>
      </c>
      <c r="M63" s="97" t="str">
        <f>+'Plan de Adquisiciones '!N104</f>
        <v>Abril</v>
      </c>
      <c r="N63" s="98">
        <f>+'Plan de Adquisiciones '!O104</f>
        <v>8</v>
      </c>
      <c r="O63" s="98" t="str">
        <f>+'Plan de Adquisiciones '!P104</f>
        <v xml:space="preserve"> Contratación Directa</v>
      </c>
      <c r="P63" s="98" t="str">
        <f>+'Plan de Adquisiciones '!Q104</f>
        <v>Directa</v>
      </c>
      <c r="Q63" s="107">
        <f>+'Plan de Adquisiciones '!R104</f>
        <v>26960000</v>
      </c>
      <c r="R63" s="107">
        <f>+'Plan de Adquisiciones '!S104</f>
        <v>46080000</v>
      </c>
      <c r="S63" s="107">
        <f>+'Plan de Adquisiciones '!T104</f>
        <v>73040000</v>
      </c>
      <c r="T63" s="98">
        <f>+'Plan de Adquisiciones '!U104</f>
        <v>1</v>
      </c>
      <c r="U63" s="107">
        <f>+'Plan de Adquisiciones '!V104</f>
        <v>26960000</v>
      </c>
      <c r="V63" s="107">
        <f>+'Plan de Adquisiciones '!W104</f>
        <v>46080000</v>
      </c>
      <c r="W63" s="107">
        <f>+'Plan de Adquisiciones '!X104</f>
        <v>73040000</v>
      </c>
      <c r="X63" s="106">
        <f>+'Plan de Adquisiciones '!Y104</f>
        <v>42854</v>
      </c>
      <c r="Y63" s="98">
        <f>+'Plan de Adquisiciones '!Z104</f>
        <v>69</v>
      </c>
      <c r="Z63" s="108" t="str">
        <f>+'Plan de Adquisiciones '!AA104</f>
        <v>EDWIN DUQUE OLIVA</v>
      </c>
    </row>
    <row r="64" spans="1:26" ht="180" x14ac:dyDescent="0.25">
      <c r="A64" s="59" t="s">
        <v>384</v>
      </c>
      <c r="B64" s="75" t="s">
        <v>148</v>
      </c>
      <c r="C64" s="76" t="s">
        <v>131</v>
      </c>
      <c r="D64" s="59" t="s">
        <v>366</v>
      </c>
      <c r="E64" s="59" t="s">
        <v>365</v>
      </c>
      <c r="F64" s="98">
        <f>+'Plan de Adquisiciones '!F105</f>
        <v>0</v>
      </c>
      <c r="G64" s="98">
        <f>+'Plan de Adquisiciones '!G105</f>
        <v>226</v>
      </c>
      <c r="H64" s="98">
        <f>+'Plan de Adquisiciones '!H105</f>
        <v>0</v>
      </c>
      <c r="I64" s="98" t="str">
        <f>+'Plan de Adquisiciones '!I105</f>
        <v>Prestación de servicios profesionales para apoyar académicamente  la supervisión y orientar conceptual y metodológicamente los encuentros, talleres y seminarios  entre entidades, instituciones, directivos y docentes participantes en el estudio sobre prácticas significativas de evaluación en las IED, así como la clasificación y consolidación de productos derivados del estudio, en el marco del Convenio  1452   de 2017 en su componente 1.</v>
      </c>
      <c r="J64" s="98">
        <f>+'Plan de Adquisiciones '!J105</f>
        <v>80111621</v>
      </c>
      <c r="K64" s="98" t="str">
        <f>+'Plan de Adquisiciones '!K105</f>
        <v xml:space="preserve"> Profesional 222-06.</v>
      </c>
      <c r="L64" s="98" t="str">
        <f>+'Plan de Adquisiciones '!L105</f>
        <v>Luisa Acuña</v>
      </c>
      <c r="M64" s="97" t="str">
        <f>+'Plan de Adquisiciones '!N105</f>
        <v>Abril</v>
      </c>
      <c r="N64" s="98">
        <f>+'Plan de Adquisiciones '!O105</f>
        <v>8</v>
      </c>
      <c r="O64" s="98" t="str">
        <f>+'Plan de Adquisiciones '!P105</f>
        <v xml:space="preserve"> Contratación Directa</v>
      </c>
      <c r="P64" s="98" t="str">
        <f>+'Plan de Adquisiciones '!Q105</f>
        <v>Directa</v>
      </c>
      <c r="Q64" s="107">
        <f>+'Plan de Adquisiciones '!R105</f>
        <v>0</v>
      </c>
      <c r="R64" s="107">
        <f>+'Plan de Adquisiciones '!S105</f>
        <v>73040000</v>
      </c>
      <c r="S64" s="107">
        <f>+'Plan de Adquisiciones '!T105</f>
        <v>73040000</v>
      </c>
      <c r="T64" s="98">
        <f>+'Plan de Adquisiciones '!U105</f>
        <v>1</v>
      </c>
      <c r="U64" s="107">
        <f>+'Plan de Adquisiciones '!V105</f>
        <v>0</v>
      </c>
      <c r="V64" s="107">
        <f>+'Plan de Adquisiciones '!W105</f>
        <v>73040000</v>
      </c>
      <c r="W64" s="107">
        <f>+'Plan de Adquisiciones '!X105</f>
        <v>73040000</v>
      </c>
      <c r="X64" s="106">
        <f>+'Plan de Adquisiciones '!Y105</f>
        <v>42844</v>
      </c>
      <c r="Y64" s="98">
        <f>+'Plan de Adquisiciones '!Z105</f>
        <v>51</v>
      </c>
      <c r="Z64" s="108" t="str">
        <f>+'Plan de Adquisiciones '!AA105</f>
        <v>LICED ANGELICA ZEA SILVA</v>
      </c>
    </row>
    <row r="65" spans="1:26" ht="90" x14ac:dyDescent="0.25">
      <c r="A65" s="59" t="s">
        <v>385</v>
      </c>
      <c r="B65" s="75" t="s">
        <v>148</v>
      </c>
      <c r="C65" s="76" t="s">
        <v>131</v>
      </c>
      <c r="D65" s="59" t="s">
        <v>366</v>
      </c>
      <c r="E65" s="59" t="s">
        <v>365</v>
      </c>
      <c r="F65" s="98">
        <f>+'Plan de Adquisiciones '!F106</f>
        <v>0</v>
      </c>
      <c r="G65" s="98">
        <f>+'Plan de Adquisiciones '!G106</f>
        <v>257</v>
      </c>
      <c r="H65" s="98">
        <f>+'Plan de Adquisiciones '!H106</f>
        <v>0</v>
      </c>
      <c r="I65" s="98" t="str">
        <f>+'Plan de Adquisiciones '!I106</f>
        <v>Prestación de servicios profesionales para prestar el apoyo tecnológico y de comunicaciones del  estudio sobre  prácticas de evaluación  en el distrito capital en el marco  del Convenio  1452   de 2017 en su componente 1.</v>
      </c>
      <c r="J65" s="98">
        <f>+'Plan de Adquisiciones '!J106</f>
        <v>80111621</v>
      </c>
      <c r="K65" s="98" t="str">
        <f>+'Plan de Adquisiciones '!K106</f>
        <v xml:space="preserve"> Profesional 222-06.</v>
      </c>
      <c r="L65" s="98" t="str">
        <f>+'Plan de Adquisiciones '!L106</f>
        <v>Luisa Acuña</v>
      </c>
      <c r="M65" s="97" t="str">
        <f>+'Plan de Adquisiciones '!N84</f>
        <v>Febrero</v>
      </c>
      <c r="N65" s="98">
        <f>+'Plan de Adquisiciones '!O106</f>
        <v>8</v>
      </c>
      <c r="O65" s="98" t="str">
        <f>+'Plan de Adquisiciones '!P106</f>
        <v xml:space="preserve"> Contratación Directa</v>
      </c>
      <c r="P65" s="98" t="str">
        <f>+'Plan de Adquisiciones '!Q106</f>
        <v>Directa</v>
      </c>
      <c r="Q65" s="107">
        <f>+'Plan de Adquisiciones '!R106</f>
        <v>0</v>
      </c>
      <c r="R65" s="107">
        <f>+'Plan de Adquisiciones '!S106</f>
        <v>29508680</v>
      </c>
      <c r="S65" s="107">
        <f>+'Plan de Adquisiciones '!T106</f>
        <v>29508680</v>
      </c>
      <c r="T65" s="98">
        <f>+'Plan de Adquisiciones '!U106</f>
        <v>1</v>
      </c>
      <c r="U65" s="107">
        <f>+'Plan de Adquisiciones '!V106</f>
        <v>0</v>
      </c>
      <c r="V65" s="107">
        <f>+'Plan de Adquisiciones '!W106</f>
        <v>29508680</v>
      </c>
      <c r="W65" s="107">
        <f>+'Plan de Adquisiciones '!X106</f>
        <v>29508680</v>
      </c>
      <c r="X65" s="106">
        <f>+'Plan de Adquisiciones '!Y106</f>
        <v>42857</v>
      </c>
      <c r="Y65" s="98">
        <f>+'Plan de Adquisiciones '!Z106</f>
        <v>70</v>
      </c>
      <c r="Z65" s="108" t="str">
        <f>+'Plan de Adquisiciones '!AA106</f>
        <v>OSCAR MUNAR SUAREZ</v>
      </c>
    </row>
    <row r="66" spans="1:26" ht="135" x14ac:dyDescent="0.25">
      <c r="A66" s="59" t="s">
        <v>386</v>
      </c>
      <c r="B66" s="75" t="s">
        <v>148</v>
      </c>
      <c r="C66" s="76" t="s">
        <v>131</v>
      </c>
      <c r="D66" s="59" t="s">
        <v>366</v>
      </c>
      <c r="E66" s="59" t="s">
        <v>365</v>
      </c>
      <c r="F66" s="98">
        <f>+'Plan de Adquisiciones '!F107</f>
        <v>0</v>
      </c>
      <c r="G66" s="98">
        <f>+'Plan de Adquisiciones '!G107</f>
        <v>228</v>
      </c>
      <c r="H66" s="98">
        <f>+'Plan de Adquisiciones '!H107</f>
        <v>0</v>
      </c>
      <c r="I66" s="98" t="str">
        <f>+'Plan de Adquisiciones '!I107</f>
        <v>Prestación de servicios profesionales para realizar la caracterización, sistematización y análisis de buenas prácticas de evaluación, así como el levantamiento de información para la línea de base sobre prácticas de evaluación en todas las instituciones oficiales del Distrito Capital, en el marco del Convenio 1452   de 2017 en su componente 1.</v>
      </c>
      <c r="J66" s="98">
        <f>+'Plan de Adquisiciones '!J107</f>
        <v>80111621</v>
      </c>
      <c r="K66" s="98" t="str">
        <f>+'Plan de Adquisiciones '!K107</f>
        <v xml:space="preserve">Asesor 105-02 </v>
      </c>
      <c r="L66" s="98" t="str">
        <f>+'Plan de Adquisiciones '!L107</f>
        <v>Edwin Ferley Ortíz</v>
      </c>
      <c r="M66" s="98" t="str">
        <f>+'Plan de Adquisiciones '!N107</f>
        <v>Mayo</v>
      </c>
      <c r="N66" s="98">
        <f>+'Plan de Adquisiciones '!O107</f>
        <v>7</v>
      </c>
      <c r="O66" s="98" t="str">
        <f>+'Plan de Adquisiciones '!P107</f>
        <v xml:space="preserve"> Contratación Directa</v>
      </c>
      <c r="P66" s="98" t="str">
        <f>+'Plan de Adquisiciones '!Q107</f>
        <v>Directa</v>
      </c>
      <c r="Q66" s="107">
        <f>+'Plan de Adquisiciones '!R107</f>
        <v>0</v>
      </c>
      <c r="R66" s="107">
        <f>+'Plan de Adquisiciones '!S107</f>
        <v>372477405</v>
      </c>
      <c r="S66" s="107">
        <f>+'Plan de Adquisiciones '!T107</f>
        <v>372477405</v>
      </c>
      <c r="T66" s="98">
        <f>+'Plan de Adquisiciones '!U107</f>
        <v>1</v>
      </c>
      <c r="U66" s="107">
        <f>+'Plan de Adquisiciones '!V107</f>
        <v>0</v>
      </c>
      <c r="V66" s="107">
        <f>+'Plan de Adquisiciones '!W107</f>
        <v>372477405</v>
      </c>
      <c r="W66" s="107">
        <f>+'Plan de Adquisiciones '!X107</f>
        <v>372477405</v>
      </c>
      <c r="X66" s="106">
        <f>+'Plan de Adquisiciones '!Y107</f>
        <v>42860</v>
      </c>
      <c r="Y66" s="98">
        <f>+'Plan de Adquisiciones '!Z107</f>
        <v>73</v>
      </c>
      <c r="Z66" s="108" t="str">
        <f>+'Plan de Adquisiciones '!AA107</f>
        <v>FUNDACION UNIVERSITARIA CAFAM</v>
      </c>
    </row>
    <row r="67" spans="1:26" ht="90" x14ac:dyDescent="0.25">
      <c r="A67" s="59" t="s">
        <v>387</v>
      </c>
      <c r="B67" s="75" t="s">
        <v>148</v>
      </c>
      <c r="C67" s="76" t="s">
        <v>131</v>
      </c>
      <c r="D67" s="59" t="s">
        <v>366</v>
      </c>
      <c r="E67" s="59" t="s">
        <v>365</v>
      </c>
      <c r="F67" s="98">
        <f>+'Plan de Adquisiciones '!F108</f>
        <v>0</v>
      </c>
      <c r="G67" s="98">
        <f>+'Plan de Adquisiciones '!G108</f>
        <v>229</v>
      </c>
      <c r="H67" s="98">
        <f>+'Plan de Adquisiciones '!H108</f>
        <v>0</v>
      </c>
      <c r="I67" s="98" t="str">
        <f>+'Plan de Adquisiciones '!I108</f>
        <v>Prestación de servicios profesionales para  realizar el apoyo administrativo y de asistencia académica para el estudio sobre prácticas evaluativas, en el marco del Convenio  1452 de 2017 en su componente 1.</v>
      </c>
      <c r="J67" s="98">
        <f>+'Plan de Adquisiciones '!J108</f>
        <v>80111621</v>
      </c>
      <c r="K67" s="98" t="str">
        <f>+'Plan de Adquisiciones '!K108</f>
        <v xml:space="preserve"> Profesional 222-06.</v>
      </c>
      <c r="L67" s="98" t="str">
        <f>+'Plan de Adquisiciones '!L108</f>
        <v>Luisa Acuña</v>
      </c>
      <c r="M67" s="97" t="str">
        <f>+'Plan de Adquisiciones '!N86</f>
        <v>Febrero</v>
      </c>
      <c r="N67" s="98">
        <f>+'Plan de Adquisiciones '!O108</f>
        <v>8</v>
      </c>
      <c r="O67" s="98" t="str">
        <f>+'Plan de Adquisiciones '!P108</f>
        <v xml:space="preserve"> Contratación Directa</v>
      </c>
      <c r="P67" s="98" t="str">
        <f>+'Plan de Adquisiciones '!Q108</f>
        <v>Directa</v>
      </c>
      <c r="Q67" s="107">
        <f>+'Plan de Adquisiciones '!R108</f>
        <v>0</v>
      </c>
      <c r="R67" s="107">
        <f>+'Plan de Adquisiciones '!S108</f>
        <v>28893915</v>
      </c>
      <c r="S67" s="107">
        <f>+'Plan de Adquisiciones '!T108</f>
        <v>28893915</v>
      </c>
      <c r="T67" s="98">
        <f>+'Plan de Adquisiciones '!U108</f>
        <v>1</v>
      </c>
      <c r="U67" s="107">
        <f>+'Plan de Adquisiciones '!V108</f>
        <v>0</v>
      </c>
      <c r="V67" s="107">
        <f>+'Plan de Adquisiciones '!W108</f>
        <v>28893915</v>
      </c>
      <c r="W67" s="107">
        <f>+'Plan de Adquisiciones '!X108</f>
        <v>28893915</v>
      </c>
      <c r="X67" s="106">
        <f>+'Plan de Adquisiciones '!Y108</f>
        <v>42844</v>
      </c>
      <c r="Y67" s="98">
        <f>+'Plan de Adquisiciones '!Z108</f>
        <v>48</v>
      </c>
      <c r="Z67" s="108" t="str">
        <f>+'Plan de Adquisiciones '!AA108</f>
        <v>ANA MARIA CARO DIAZ</v>
      </c>
    </row>
    <row r="68" spans="1:26" ht="168.75" x14ac:dyDescent="0.25">
      <c r="A68" s="59" t="s">
        <v>388</v>
      </c>
      <c r="B68" s="75" t="s">
        <v>148</v>
      </c>
      <c r="C68" s="76" t="s">
        <v>131</v>
      </c>
      <c r="D68" s="61" t="s">
        <v>41</v>
      </c>
      <c r="E68" s="59" t="s">
        <v>365</v>
      </c>
      <c r="F68" s="98" t="str">
        <f>+'Plan de Adquisiciones '!F110</f>
        <v>Estudio Cualificación Docente : Transmedia Educativa</v>
      </c>
      <c r="G68" s="98">
        <f>+'Plan de Adquisiciones '!G110</f>
        <v>265</v>
      </c>
      <c r="H68" s="98">
        <f>+'Plan de Adquisiciones '!H110</f>
        <v>0</v>
      </c>
      <c r="I68" s="98" t="str">
        <f>+'Plan de Adquisiciones '!I110</f>
        <v>Prestación de servicios profesionales para desarrollar un proceso de investigación y formación, con el fin de cualificar el uso y apropiación de los resultados de 5 experiencias pedagógicas, investigaciones o innovaciones educativas, en el Distrito Capital, mediante la producción de narrativas con el fin de divulgarlas de manera innovadora (transmedia) de forma que impacten de manera más eficaz a sus comunidades académicas.</v>
      </c>
      <c r="J68" s="98">
        <f>+'Plan de Adquisiciones '!J110</f>
        <v>80111621</v>
      </c>
      <c r="K68" s="98" t="str">
        <f>+'Plan de Adquisiciones '!K110</f>
        <v xml:space="preserve">Asesor 105-02 </v>
      </c>
      <c r="L68" s="98" t="str">
        <f>+'Plan de Adquisiciones '!L110</f>
        <v>Edwin Ferley Ortíz</v>
      </c>
      <c r="M68" s="98" t="str">
        <f>+'Plan de Adquisiciones '!N110</f>
        <v>Mayo</v>
      </c>
      <c r="N68" s="98">
        <f>+'Plan de Adquisiciones '!O110</f>
        <v>7</v>
      </c>
      <c r="O68" s="98" t="str">
        <f>+'Plan de Adquisiciones '!P110</f>
        <v xml:space="preserve"> Contratación Directa</v>
      </c>
      <c r="P68" s="98" t="str">
        <f>+'Plan de Adquisiciones '!Q110</f>
        <v>Directa</v>
      </c>
      <c r="Q68" s="107">
        <f>+'Plan de Adquisiciones '!R110</f>
        <v>167471012</v>
      </c>
      <c r="R68" s="107">
        <f>+'Plan de Adquisiciones '!S110</f>
        <v>0</v>
      </c>
      <c r="S68" s="107">
        <f>+'Plan de Adquisiciones '!T110</f>
        <v>167471012</v>
      </c>
      <c r="T68" s="107">
        <f>+'Plan de Adquisiciones '!U110</f>
        <v>0</v>
      </c>
      <c r="U68" s="107">
        <f>+'Plan de Adquisiciones '!V110</f>
        <v>167471012</v>
      </c>
      <c r="V68" s="107">
        <f>+'Plan de Adquisiciones '!V110</f>
        <v>167471012</v>
      </c>
      <c r="W68" s="107">
        <f>+'Plan de Adquisiciones '!X110</f>
        <v>167471012</v>
      </c>
      <c r="X68" s="106">
        <f>+'Plan de Adquisiciones '!Y110</f>
        <v>42870</v>
      </c>
      <c r="Y68" s="98">
        <f>+'Plan de Adquisiciones '!Z110</f>
        <v>81</v>
      </c>
      <c r="Z68" s="108" t="str">
        <f>+'Plan de Adquisiciones '!AA110</f>
        <v>CORPORACION UNIVERSITARIA MINUTO DE DIOS</v>
      </c>
    </row>
    <row r="69" spans="1:26" ht="84" customHeight="1" x14ac:dyDescent="0.25">
      <c r="A69" s="59" t="s">
        <v>163</v>
      </c>
      <c r="B69" s="75" t="s">
        <v>148</v>
      </c>
      <c r="C69" s="76" t="s">
        <v>131</v>
      </c>
      <c r="D69" s="61" t="s">
        <v>41</v>
      </c>
      <c r="E69" s="59" t="s">
        <v>365</v>
      </c>
      <c r="F69" s="98" t="str">
        <f>+'Plan de Adquisiciones '!F112</f>
        <v xml:space="preserve">Estudio de Cualificación Docente: Formulación de la estrategia de desarrollo personal de los docentes – Ser Maestro. </v>
      </c>
      <c r="G69" s="98">
        <f>+'Plan de Adquisiciones '!G112</f>
        <v>239</v>
      </c>
      <c r="H69" s="98">
        <f>+'Plan de Adquisiciones '!H112</f>
        <v>0</v>
      </c>
      <c r="I69" s="98" t="str">
        <f>+'Plan de Adquisiciones '!I112</f>
        <v>Prestación de servicios profesionales para  apoyar la elaboración  de los referentes conceptuales y metodológicos de una estrategia para el desarrollo personal de los docentes, en el marco del Convenio 1452 de 2017 en su componente 4.</v>
      </c>
      <c r="J69" s="98">
        <f>+'Plan de Adquisiciones '!J112</f>
        <v>80111621</v>
      </c>
      <c r="K69" s="98" t="str">
        <f>+'Plan de Adquisiciones '!K112</f>
        <v>Profesional 222-07</v>
      </c>
      <c r="L69" s="98" t="str">
        <f>+'Plan de Adquisiciones '!L112</f>
        <v>Jorge Palacio</v>
      </c>
      <c r="M69" s="98" t="str">
        <f>+'Plan de Adquisiciones '!N112</f>
        <v>Mayo</v>
      </c>
      <c r="N69" s="98">
        <f>+'Plan de Adquisiciones '!O112</f>
        <v>6</v>
      </c>
      <c r="O69" s="98" t="str">
        <f>+'Plan de Adquisiciones '!P112</f>
        <v xml:space="preserve"> Contratación Directa</v>
      </c>
      <c r="P69" s="98" t="str">
        <f>+'Plan de Adquisiciones '!Q112</f>
        <v>Directa</v>
      </c>
      <c r="Q69" s="107">
        <f>+'Plan de Adquisiciones '!R112</f>
        <v>0</v>
      </c>
      <c r="R69" s="107">
        <f>+'Plan de Adquisiciones '!S112</f>
        <v>39836718</v>
      </c>
      <c r="S69" s="107">
        <f>+'Plan de Adquisiciones '!T112</f>
        <v>39836718</v>
      </c>
      <c r="T69" s="98">
        <f>+'Plan de Adquisiciones '!U112</f>
        <v>1</v>
      </c>
      <c r="U69" s="107">
        <f>+'Plan de Adquisiciones '!V112</f>
        <v>0</v>
      </c>
      <c r="V69" s="107">
        <f>+'Plan de Adquisiciones '!W112</f>
        <v>39836718</v>
      </c>
      <c r="W69" s="107">
        <f>+'Plan de Adquisiciones '!X112</f>
        <v>39836718</v>
      </c>
      <c r="X69" s="106">
        <f>+'Plan de Adquisiciones '!Y112</f>
        <v>42846</v>
      </c>
      <c r="Y69" s="98">
        <f>+'Plan de Adquisiciones '!Z112</f>
        <v>55</v>
      </c>
      <c r="Z69" s="108" t="str">
        <f>+'Plan de Adquisiciones '!AA112</f>
        <v>ALBERTO AYALA MORANTE</v>
      </c>
    </row>
    <row r="70" spans="1:26" ht="90" x14ac:dyDescent="0.25">
      <c r="A70" s="59" t="s">
        <v>371</v>
      </c>
      <c r="B70" s="75" t="s">
        <v>148</v>
      </c>
      <c r="C70" s="76" t="s">
        <v>131</v>
      </c>
      <c r="D70" s="61" t="s">
        <v>41</v>
      </c>
      <c r="E70" s="59" t="s">
        <v>365</v>
      </c>
      <c r="F70" s="98">
        <f>+'Plan de Adquisiciones '!F113</f>
        <v>0</v>
      </c>
      <c r="G70" s="98">
        <f>+'Plan de Adquisiciones '!G113</f>
        <v>240</v>
      </c>
      <c r="H70" s="98">
        <f>+'Plan de Adquisiciones '!H113</f>
        <v>0</v>
      </c>
      <c r="I70" s="98" t="str">
        <f>+'Plan de Adquisiciones '!I113</f>
        <v>Prestación de servicios profesionales para  apoyar la elaboración  de los referentes pedagógicos y técnicos de una estrategia para el desarrollo personal de los docentes, en el marco del Convenio 1452 de 2017 en su componente 4.</v>
      </c>
      <c r="J70" s="98">
        <f>+'Plan de Adquisiciones '!J113</f>
        <v>80111621</v>
      </c>
      <c r="K70" s="98" t="str">
        <f>+'Plan de Adquisiciones '!K113</f>
        <v>Profesional 222-07</v>
      </c>
      <c r="L70" s="98" t="str">
        <f>+'Plan de Adquisiciones '!L113</f>
        <v>Jorge Palacio</v>
      </c>
      <c r="M70" s="98" t="str">
        <f>+'Plan de Adquisiciones '!N113</f>
        <v>Mayo</v>
      </c>
      <c r="N70" s="98">
        <f>+'Plan de Adquisiciones '!O113</f>
        <v>6</v>
      </c>
      <c r="O70" s="98" t="str">
        <f>+'Plan de Adquisiciones '!P113</f>
        <v xml:space="preserve"> Contratación Directa</v>
      </c>
      <c r="P70" s="98" t="str">
        <f>+'Plan de Adquisiciones '!Q113</f>
        <v>Directa</v>
      </c>
      <c r="Q70" s="107">
        <f>+'Plan de Adquisiciones '!R113</f>
        <v>0</v>
      </c>
      <c r="R70" s="107">
        <f>+'Plan de Adquisiciones '!S113</f>
        <v>39836718</v>
      </c>
      <c r="S70" s="107">
        <f>+'Plan de Adquisiciones '!T113</f>
        <v>39836718</v>
      </c>
      <c r="T70" s="98">
        <f>+'Plan de Adquisiciones '!U113</f>
        <v>1</v>
      </c>
      <c r="U70" s="107">
        <f>+'Plan de Adquisiciones '!V113</f>
        <v>0</v>
      </c>
      <c r="V70" s="107">
        <f>+'Plan de Adquisiciones '!W113</f>
        <v>39836718</v>
      </c>
      <c r="W70" s="107">
        <f>+'Plan de Adquisiciones '!X113</f>
        <v>39836718</v>
      </c>
      <c r="X70" s="106">
        <f>+'Plan de Adquisiciones '!Y113</f>
        <v>42846</v>
      </c>
      <c r="Y70" s="98">
        <f>+'Plan de Adquisiciones '!Z113</f>
        <v>54</v>
      </c>
      <c r="Z70" s="108" t="str">
        <f>+'Plan de Adquisiciones '!AA113</f>
        <v>NELSON MUÑOZ SANCHEZ</v>
      </c>
    </row>
    <row r="71" spans="1:26" ht="146.25" x14ac:dyDescent="0.25">
      <c r="A71" s="59" t="s">
        <v>372</v>
      </c>
      <c r="B71" s="75" t="s">
        <v>148</v>
      </c>
      <c r="C71" s="76" t="s">
        <v>131</v>
      </c>
      <c r="D71" s="61" t="s">
        <v>41</v>
      </c>
      <c r="E71" s="104"/>
      <c r="F71" s="98">
        <f>+'Plan de Adquisiciones '!F114</f>
        <v>0</v>
      </c>
      <c r="G71" s="98">
        <f>+'Plan de Adquisiciones '!G114</f>
        <v>246</v>
      </c>
      <c r="H71" s="98">
        <f>+'Plan de Adquisiciones '!H114</f>
        <v>0</v>
      </c>
      <c r="I71" s="98" t="str">
        <f>+'Plan de Adquisiciones '!I114</f>
        <v>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v>
      </c>
      <c r="J71" s="98">
        <f>+'Plan de Adquisiciones '!J114</f>
        <v>80111621</v>
      </c>
      <c r="K71" s="98" t="str">
        <f>+'Plan de Adquisiciones '!K114</f>
        <v>Asesor 105-02</v>
      </c>
      <c r="L71" s="98" t="str">
        <f>+'Plan de Adquisiciones '!L114</f>
        <v>María Isabel Ramírez</v>
      </c>
      <c r="M71" s="98" t="str">
        <f>+'Plan de Adquisiciones '!N114</f>
        <v>Mayo</v>
      </c>
      <c r="N71" s="98">
        <f>+'Plan de Adquisiciones '!O114</f>
        <v>7</v>
      </c>
      <c r="O71" s="98" t="str">
        <f>+'Plan de Adquisiciones '!P114</f>
        <v xml:space="preserve"> Contratación Directa</v>
      </c>
      <c r="P71" s="98" t="str">
        <f>+'Plan de Adquisiciones '!Q114</f>
        <v>Directa</v>
      </c>
      <c r="Q71" s="107">
        <f>+'Plan de Adquisiciones '!R114</f>
        <v>0</v>
      </c>
      <c r="R71" s="107">
        <f>+'Plan de Adquisiciones '!S114</f>
        <v>20326564</v>
      </c>
      <c r="S71" s="107">
        <f>+'Plan de Adquisiciones '!T114</f>
        <v>20326564</v>
      </c>
      <c r="T71" s="98">
        <f>+'Plan de Adquisiciones '!U114</f>
        <v>0</v>
      </c>
      <c r="U71" s="107">
        <f>+'Plan de Adquisiciones '!V114</f>
        <v>0</v>
      </c>
      <c r="V71" s="107">
        <f>+'Plan de Adquisiciones '!W114</f>
        <v>20326564</v>
      </c>
      <c r="W71" s="107">
        <f>+'Plan de Adquisiciones '!X114</f>
        <v>20326564</v>
      </c>
      <c r="X71" s="106"/>
      <c r="Y71" s="98">
        <f>+'Plan de Adquisiciones '!Z114</f>
        <v>42871</v>
      </c>
      <c r="Z71" s="108" t="str">
        <f>+'Plan de Adquisiciones '!AA114</f>
        <v>CORPORACION MIXTA PARA LA INVESTIGACION Y DESARROLLO DE LA EDUCACION - CORPOEDUCACION</v>
      </c>
    </row>
    <row r="72" spans="1:26" ht="67.5" x14ac:dyDescent="0.25">
      <c r="A72" s="59" t="s">
        <v>163</v>
      </c>
      <c r="B72" s="75" t="s">
        <v>148</v>
      </c>
      <c r="C72" s="77" t="s">
        <v>131</v>
      </c>
      <c r="D72" s="59" t="s">
        <v>44</v>
      </c>
      <c r="E72" s="59" t="s">
        <v>44</v>
      </c>
      <c r="F72" s="98" t="str">
        <f>+'Plan de Adquisiciones '!F117</f>
        <v>Proyectos Editoriales Componente 2</v>
      </c>
      <c r="G72" s="98">
        <f>+'Plan de Adquisiciones '!G117</f>
        <v>139</v>
      </c>
      <c r="H72" s="98">
        <f>+'Plan de Adquisiciones '!H117</f>
        <v>0</v>
      </c>
      <c r="I72" s="98" t="str">
        <f>+'Plan de Adquisiciones '!I117</f>
        <v>Prestación de servicios para realizar la edición, el diseño y la diagramación de la Revista Educación y Ciudad.</v>
      </c>
      <c r="J72" s="98">
        <f>+'Plan de Adquisiciones '!J117</f>
        <v>82111801</v>
      </c>
      <c r="K72" s="98" t="str">
        <f>+'Plan de Adquisiciones '!K117</f>
        <v>Profesional 222-05</v>
      </c>
      <c r="L72" s="98" t="str">
        <f>+'Plan de Adquisiciones '!L117</f>
        <v>Diana Prada</v>
      </c>
      <c r="M72" s="98" t="str">
        <f>+'Plan de Adquisiciones '!N117</f>
        <v>Febrero</v>
      </c>
      <c r="N72" s="98">
        <f>+'Plan de Adquisiciones '!O117</f>
        <v>10</v>
      </c>
      <c r="O72" s="98" t="str">
        <f>+'Plan de Adquisiciones '!P117</f>
        <v xml:space="preserve"> Contratación Directa</v>
      </c>
      <c r="P72" s="98" t="str">
        <f>+'Plan de Adquisiciones '!Q117</f>
        <v>Directa</v>
      </c>
      <c r="Q72" s="107">
        <f>+'Plan de Adquisiciones '!R117</f>
        <v>25150000</v>
      </c>
      <c r="R72" s="107">
        <f>+'Plan de Adquisiciones '!S117</f>
        <v>0</v>
      </c>
      <c r="S72" s="107">
        <f>+'Plan de Adquisiciones '!T117</f>
        <v>25150000</v>
      </c>
      <c r="T72" s="98">
        <f>+'Plan de Adquisiciones '!U117</f>
        <v>1</v>
      </c>
      <c r="U72" s="107">
        <f>+'Plan de Adquisiciones '!V117</f>
        <v>25150000</v>
      </c>
      <c r="V72" s="107">
        <f>+'Plan de Adquisiciones '!W117</f>
        <v>0</v>
      </c>
      <c r="W72" s="107">
        <f>+'Plan de Adquisiciones '!X117</f>
        <v>25150000</v>
      </c>
      <c r="X72" s="106">
        <f>+'Plan de Adquisiciones '!Y117</f>
        <v>42803</v>
      </c>
      <c r="Y72" s="98">
        <f>+'Plan de Adquisiciones '!Z117</f>
        <v>30</v>
      </c>
      <c r="Z72" s="108" t="str">
        <f>+'Plan de Adquisiciones '!AA117</f>
        <v>COOPERATIVA EDITORIAL MAGISTERIO</v>
      </c>
    </row>
    <row r="73" spans="1:26" ht="67.5" x14ac:dyDescent="0.25">
      <c r="A73" s="60" t="s">
        <v>163</v>
      </c>
      <c r="B73" s="62" t="s">
        <v>148</v>
      </c>
      <c r="C73" s="77" t="s">
        <v>131</v>
      </c>
      <c r="D73" s="59" t="s">
        <v>44</v>
      </c>
      <c r="E73" s="59" t="s">
        <v>44</v>
      </c>
      <c r="F73" s="98">
        <f>+'Plan de Adquisiciones '!F118</f>
        <v>0</v>
      </c>
      <c r="G73" s="98">
        <f>+'Plan de Adquisiciones '!G118</f>
        <v>136</v>
      </c>
      <c r="H73" s="98">
        <f>+'Plan de Adquisiciones '!H118</f>
        <v>0</v>
      </c>
      <c r="I73" s="98" t="str">
        <f>+'Plan de Adquisiciones '!I118</f>
        <v>Prestación de servicios profesionales para realizar la edición del magazín "Aula Urbana".</v>
      </c>
      <c r="J73" s="98">
        <f>+'Plan de Adquisiciones '!J118</f>
        <v>82111801</v>
      </c>
      <c r="K73" s="98" t="str">
        <f>+'Plan de Adquisiciones '!K118</f>
        <v>Profesional 222-05</v>
      </c>
      <c r="L73" s="98" t="str">
        <f>+'Plan de Adquisiciones '!L118</f>
        <v>Diana Prada</v>
      </c>
      <c r="M73" s="98" t="str">
        <f>+'Plan de Adquisiciones '!N118</f>
        <v>Febrero</v>
      </c>
      <c r="N73" s="98">
        <f>+'Plan de Adquisiciones '!O118</f>
        <v>10</v>
      </c>
      <c r="O73" s="98" t="str">
        <f>+'Plan de Adquisiciones '!P118</f>
        <v xml:space="preserve"> Contratación Directa</v>
      </c>
      <c r="P73" s="98" t="str">
        <f>+'Plan de Adquisiciones '!Q118</f>
        <v>Directa</v>
      </c>
      <c r="Q73" s="107">
        <f>+'Plan de Adquisiciones '!R118</f>
        <v>11035738</v>
      </c>
      <c r="R73" s="107">
        <f>+'Plan de Adquisiciones '!S118</f>
        <v>0</v>
      </c>
      <c r="S73" s="107">
        <f>+'Plan de Adquisiciones '!T118</f>
        <v>11035738</v>
      </c>
      <c r="T73" s="98">
        <f>+'Plan de Adquisiciones '!U118</f>
        <v>1</v>
      </c>
      <c r="U73" s="107">
        <f>+'Plan de Adquisiciones '!V118</f>
        <v>11035738</v>
      </c>
      <c r="V73" s="107">
        <f>+'Plan de Adquisiciones '!W118</f>
        <v>0</v>
      </c>
      <c r="W73" s="107">
        <f>+'Plan de Adquisiciones '!X118</f>
        <v>11035738</v>
      </c>
      <c r="X73" s="106">
        <f>+'Plan de Adquisiciones '!Y118</f>
        <v>42794</v>
      </c>
      <c r="Y73" s="98">
        <f>+'Plan de Adquisiciones '!Z118</f>
        <v>12</v>
      </c>
      <c r="Z73" s="108" t="str">
        <f>+'Plan de Adquisiciones '!AA118</f>
        <v>JAVIER VARGAS ACOSTA</v>
      </c>
    </row>
    <row r="74" spans="1:26" ht="67.5" x14ac:dyDescent="0.25">
      <c r="A74" s="60" t="s">
        <v>163</v>
      </c>
      <c r="B74" s="62" t="s">
        <v>148</v>
      </c>
      <c r="C74" s="77" t="s">
        <v>131</v>
      </c>
      <c r="D74" s="59" t="s">
        <v>44</v>
      </c>
      <c r="E74" s="59" t="s">
        <v>44</v>
      </c>
      <c r="F74" s="98">
        <f>+'Plan de Adquisiciones '!F119</f>
        <v>0</v>
      </c>
      <c r="G74" s="98">
        <f>+'Plan de Adquisiciones '!G119</f>
        <v>170</v>
      </c>
      <c r="H74" s="98">
        <f>+'Plan de Adquisiciones '!H119</f>
        <v>0</v>
      </c>
      <c r="I74" s="98" t="str">
        <f>+'Plan de Adquisiciones '!I119</f>
        <v>Prestación de servicios  para realizar el diseño y la diagramación del magazín "Aula Urbana".</v>
      </c>
      <c r="J74" s="98">
        <f>+'Plan de Adquisiciones '!J119</f>
        <v>82111801</v>
      </c>
      <c r="K74" s="98" t="str">
        <f>+'Plan de Adquisiciones '!K119</f>
        <v>Profesional 222-05</v>
      </c>
      <c r="L74" s="98" t="str">
        <f>+'Plan de Adquisiciones '!L119</f>
        <v>Diana Prada</v>
      </c>
      <c r="M74" s="98" t="str">
        <f>+'Plan de Adquisiciones '!N119</f>
        <v>Marzo</v>
      </c>
      <c r="N74" s="98">
        <f>+'Plan de Adquisiciones '!O119</f>
        <v>9</v>
      </c>
      <c r="O74" s="98" t="str">
        <f>+'Plan de Adquisiciones '!P119</f>
        <v xml:space="preserve"> Contratación Directa</v>
      </c>
      <c r="P74" s="98" t="str">
        <f>+'Plan de Adquisiciones '!Q119</f>
        <v>Directa</v>
      </c>
      <c r="Q74" s="107">
        <f>+'Plan de Adquisiciones '!R119</f>
        <v>7734262</v>
      </c>
      <c r="R74" s="107">
        <f>+'Plan de Adquisiciones '!S119</f>
        <v>0</v>
      </c>
      <c r="S74" s="107">
        <f>+'Plan de Adquisiciones '!T119</f>
        <v>7734262</v>
      </c>
      <c r="T74" s="98">
        <f>+'Plan de Adquisiciones '!U119</f>
        <v>1</v>
      </c>
      <c r="U74" s="107">
        <f>+'Plan de Adquisiciones '!V119</f>
        <v>7734262</v>
      </c>
      <c r="V74" s="107">
        <f>+'Plan de Adquisiciones '!W119</f>
        <v>0</v>
      </c>
      <c r="W74" s="107">
        <f>+'Plan de Adquisiciones '!X119</f>
        <v>7734262</v>
      </c>
      <c r="X74" s="106">
        <f>+'Plan de Adquisiciones '!Y119</f>
        <v>42804</v>
      </c>
      <c r="Y74" s="98">
        <f>+'Plan de Adquisiciones '!Z119</f>
        <v>32</v>
      </c>
      <c r="Z74" s="108" t="str">
        <f>+'Plan de Adquisiciones '!AA119</f>
        <v>ANDREA SARMIENTO BOHORQUEZ</v>
      </c>
    </row>
    <row r="75" spans="1:26" ht="67.5" x14ac:dyDescent="0.25">
      <c r="A75" s="60" t="s">
        <v>163</v>
      </c>
      <c r="B75" s="62" t="s">
        <v>148</v>
      </c>
      <c r="C75" s="77" t="s">
        <v>131</v>
      </c>
      <c r="D75" s="59" t="s">
        <v>44</v>
      </c>
      <c r="E75" s="59" t="s">
        <v>44</v>
      </c>
      <c r="F75" s="98">
        <f>+'Plan de Adquisiciones '!F120</f>
        <v>0</v>
      </c>
      <c r="G75" s="98">
        <f>+'Plan de Adquisiciones '!G120</f>
        <v>138</v>
      </c>
      <c r="H75" s="98">
        <f>+'Plan de Adquisiciones '!H120</f>
        <v>0</v>
      </c>
      <c r="I75" s="98" t="str">
        <f>+'Plan de Adquisiciones '!I120</f>
        <v xml:space="preserve">Prestación de servicios para realizar la edición, el diseño y la diagramación de libros de la serie editorial del  IDEP. </v>
      </c>
      <c r="J75" s="98">
        <f>+'Plan de Adquisiciones '!J120</f>
        <v>82111801</v>
      </c>
      <c r="K75" s="98" t="str">
        <f>+'Plan de Adquisiciones '!K120</f>
        <v>Profesional 222-05</v>
      </c>
      <c r="L75" s="98" t="str">
        <f>+'Plan de Adquisiciones '!L120</f>
        <v>Diana Prada</v>
      </c>
      <c r="M75" s="98" t="str">
        <f>+'Plan de Adquisiciones '!N120</f>
        <v>Mayo</v>
      </c>
      <c r="N75" s="98">
        <f>+'Plan de Adquisiciones '!O120</f>
        <v>8</v>
      </c>
      <c r="O75" s="98" t="str">
        <f>+'Plan de Adquisiciones '!P120</f>
        <v xml:space="preserve"> Contratación Directa</v>
      </c>
      <c r="P75" s="98" t="str">
        <f>+'Plan de Adquisiciones '!Q120</f>
        <v>Directa</v>
      </c>
      <c r="Q75" s="107">
        <f>+'Plan de Adquisiciones '!R120</f>
        <v>25560000</v>
      </c>
      <c r="R75" s="107">
        <f>+'Plan de Adquisiciones '!S120</f>
        <v>0</v>
      </c>
      <c r="S75" s="107">
        <f>+'Plan de Adquisiciones '!T120</f>
        <v>25560000</v>
      </c>
      <c r="T75" s="98">
        <f>+'Plan de Adquisiciones '!U120</f>
        <v>1</v>
      </c>
      <c r="U75" s="107">
        <f>+'Plan de Adquisiciones '!V120</f>
        <v>25560000</v>
      </c>
      <c r="V75" s="107">
        <f>+'Plan de Adquisiciones '!W120</f>
        <v>0</v>
      </c>
      <c r="W75" s="107">
        <f>+'Plan de Adquisiciones '!X120</f>
        <v>25560000</v>
      </c>
      <c r="X75" s="106">
        <f>+'Plan de Adquisiciones '!Y120</f>
        <v>42860</v>
      </c>
      <c r="Y75" s="98">
        <f>+'Plan de Adquisiciones '!Z120</f>
        <v>72</v>
      </c>
      <c r="Z75" s="108" t="str">
        <f>+'Plan de Adquisiciones '!AA120</f>
        <v>TALLER DE EDICIÓN ROCCA S.A.</v>
      </c>
    </row>
    <row r="76" spans="1:26" ht="67.5" x14ac:dyDescent="0.25">
      <c r="A76" s="60" t="s">
        <v>163</v>
      </c>
      <c r="B76" s="62" t="s">
        <v>148</v>
      </c>
      <c r="C76" s="77" t="s">
        <v>131</v>
      </c>
      <c r="D76" s="59" t="s">
        <v>44</v>
      </c>
      <c r="E76" s="59" t="s">
        <v>44</v>
      </c>
      <c r="F76" s="98">
        <f>+'Plan de Adquisiciones '!F121</f>
        <v>0</v>
      </c>
      <c r="G76" s="98">
        <f>+'Plan de Adquisiciones '!G121</f>
        <v>183</v>
      </c>
      <c r="H76" s="98">
        <f>+'Plan de Adquisiciones '!H121</f>
        <v>0</v>
      </c>
      <c r="I76" s="98" t="str">
        <f>+'Plan de Adquisiciones '!I121</f>
        <v>Prestación de servicios para la impresión de publicaciones del Instituto para la Investigación Educativa y el Desarrollo Pedagógico, IDEP</v>
      </c>
      <c r="J76" s="98">
        <f>+'Plan de Adquisiciones '!J121</f>
        <v>82111801</v>
      </c>
      <c r="K76" s="98" t="str">
        <f>+'Plan de Adquisiciones '!K121</f>
        <v>Profesional 222-05</v>
      </c>
      <c r="L76" s="98" t="str">
        <f>+'Plan de Adquisiciones '!L121</f>
        <v>Diana Prada</v>
      </c>
      <c r="M76" s="98" t="str">
        <f>+'Plan de Adquisiciones '!N121</f>
        <v>Mayo</v>
      </c>
      <c r="N76" s="98">
        <f>+'Plan de Adquisiciones '!O121</f>
        <v>9</v>
      </c>
      <c r="O76" s="98" t="str">
        <f>+'Plan de Adquisiciones '!P121</f>
        <v>Selección Abreviada -Subasta inversa</v>
      </c>
      <c r="P76" s="98" t="str">
        <f>+'Plan de Adquisiciones '!Q121</f>
        <v>Selección Abreviada -Subasta inversa</v>
      </c>
      <c r="Q76" s="107">
        <f>+'Plan de Adquisiciones '!R121</f>
        <v>26155250</v>
      </c>
      <c r="R76" s="107">
        <f>+'Plan de Adquisiciones '!S121</f>
        <v>0</v>
      </c>
      <c r="S76" s="107">
        <f>+'Plan de Adquisiciones '!T121</f>
        <v>26155250</v>
      </c>
      <c r="T76" s="98">
        <f>+'Plan de Adquisiciones '!U121</f>
        <v>0</v>
      </c>
      <c r="U76" s="107">
        <f>+'Plan de Adquisiciones '!V121</f>
        <v>26155250</v>
      </c>
      <c r="V76" s="107">
        <f>+'Plan de Adquisiciones '!W121</f>
        <v>0</v>
      </c>
      <c r="W76" s="107">
        <f>+'Plan de Adquisiciones '!X121</f>
        <v>26155250</v>
      </c>
      <c r="X76" s="106"/>
      <c r="Y76" s="98">
        <f>+'Plan de Adquisiciones '!Z121</f>
        <v>87</v>
      </c>
      <c r="Z76" s="108" t="str">
        <f>+'Plan de Adquisiciones '!AA121</f>
        <v>CI WARRIORS COMPANY S.A.S.</v>
      </c>
    </row>
    <row r="77" spans="1:26" ht="67.5" x14ac:dyDescent="0.25">
      <c r="A77" s="60" t="s">
        <v>163</v>
      </c>
      <c r="B77" s="62" t="s">
        <v>148</v>
      </c>
      <c r="C77" s="77" t="s">
        <v>131</v>
      </c>
      <c r="D77" s="59" t="s">
        <v>44</v>
      </c>
      <c r="E77" s="59" t="s">
        <v>44</v>
      </c>
      <c r="F77" s="98" t="str">
        <f>+'Plan de Adquisiciones '!F124</f>
        <v>Socialización y 
Divulgación.Componente 2</v>
      </c>
      <c r="G77" s="98">
        <f>+'Plan de Adquisiciones '!G124</f>
        <v>140</v>
      </c>
      <c r="H77" s="98">
        <f>+'Plan de Adquisiciones '!H124</f>
        <v>0</v>
      </c>
      <c r="I77" s="98" t="str">
        <f>+'Plan de Adquisiciones '!I124</f>
        <v xml:space="preserve">Prestación de servicios profesionales para realizar el diseño y diagramación de piezas gráficas (impresas, audioviduales y digitales) del IDEP. </v>
      </c>
      <c r="J77" s="98">
        <f>+'Plan de Adquisiciones '!J124</f>
        <v>82141504</v>
      </c>
      <c r="K77" s="98" t="str">
        <f>+'Plan de Adquisiciones '!K124</f>
        <v>Subdirector Académico</v>
      </c>
      <c r="L77" s="98" t="str">
        <f>+'Plan de Adquisiciones '!L124</f>
        <v>Juliana Gutiérrez</v>
      </c>
      <c r="M77" s="98" t="str">
        <f>+'Plan de Adquisiciones '!N124</f>
        <v>Febrero</v>
      </c>
      <c r="N77" s="98">
        <f>+'Plan de Adquisiciones '!O124</f>
        <v>10</v>
      </c>
      <c r="O77" s="98" t="str">
        <f>+'Plan de Adquisiciones '!P124</f>
        <v xml:space="preserve"> Contratación Directa</v>
      </c>
      <c r="P77" s="98" t="str">
        <f>+'Plan de Adquisiciones '!Q124</f>
        <v>Directa</v>
      </c>
      <c r="Q77" s="107">
        <f>+'Plan de Adquisiciones '!R124</f>
        <v>27383073</v>
      </c>
      <c r="R77" s="107">
        <f>+'Plan de Adquisiciones '!S124</f>
        <v>0</v>
      </c>
      <c r="S77" s="107">
        <f>+'Plan de Adquisiciones '!T124</f>
        <v>27383073</v>
      </c>
      <c r="T77" s="98">
        <f>+'Plan de Adquisiciones '!U124</f>
        <v>1</v>
      </c>
      <c r="U77" s="107">
        <f>+'Plan de Adquisiciones '!V124</f>
        <v>27383073</v>
      </c>
      <c r="V77" s="107">
        <f>+'Plan de Adquisiciones '!W124</f>
        <v>0</v>
      </c>
      <c r="W77" s="107">
        <f>+'Plan de Adquisiciones '!X124</f>
        <v>27383073</v>
      </c>
      <c r="X77" s="106">
        <f>+'Plan de Adquisiciones '!Y124</f>
        <v>42794</v>
      </c>
      <c r="Y77" s="98">
        <f>+'Plan de Adquisiciones '!Z124</f>
        <v>13</v>
      </c>
      <c r="Z77" s="108" t="str">
        <f>+'Plan de Adquisiciones '!AA124</f>
        <v>GUSTAVO MARTINEZ</v>
      </c>
    </row>
    <row r="78" spans="1:26" ht="67.5" x14ac:dyDescent="0.25">
      <c r="A78" s="60" t="s">
        <v>163</v>
      </c>
      <c r="B78" s="62" t="s">
        <v>148</v>
      </c>
      <c r="C78" s="77" t="s">
        <v>131</v>
      </c>
      <c r="D78" s="59" t="s">
        <v>44</v>
      </c>
      <c r="E78" s="59" t="s">
        <v>44</v>
      </c>
      <c r="F78" s="98">
        <f>+'Plan de Adquisiciones '!F125</f>
        <v>0</v>
      </c>
      <c r="G78" s="98">
        <f>+'Plan de Adquisiciones '!G125</f>
        <v>71</v>
      </c>
      <c r="H78" s="98">
        <f>+'Plan de Adquisiciones '!H125</f>
        <v>0</v>
      </c>
      <c r="I78" s="98" t="str">
        <f>+'Plan de Adquisiciones '!I125</f>
        <v>Prestación de servicios profesionales para apoyar la socialización académica e institucional y el seguimiento de la misma.</v>
      </c>
      <c r="J78" s="98">
        <f>+'Plan de Adquisiciones '!J125</f>
        <v>80111621</v>
      </c>
      <c r="K78" s="98" t="str">
        <f>+'Plan de Adquisiciones '!K125</f>
        <v>Asesor 105-03</v>
      </c>
      <c r="L78" s="98" t="str">
        <f>+'Plan de Adquisiciones '!L125</f>
        <v>Martha Cuevas</v>
      </c>
      <c r="M78" s="98" t="str">
        <f>+'Plan de Adquisiciones '!N125</f>
        <v>Marzo</v>
      </c>
      <c r="N78" s="98">
        <f>+'Plan de Adquisiciones '!O125</f>
        <v>10</v>
      </c>
      <c r="O78" s="98" t="str">
        <f>+'Plan de Adquisiciones '!P125</f>
        <v xml:space="preserve"> Contratación Directa</v>
      </c>
      <c r="P78" s="98" t="str">
        <f>+'Plan de Adquisiciones '!Q125</f>
        <v>Directa</v>
      </c>
      <c r="Q78" s="107">
        <f>+'Plan de Adquisiciones '!R125</f>
        <v>35495989</v>
      </c>
      <c r="R78" s="107">
        <f>+'Plan de Adquisiciones '!S125</f>
        <v>0</v>
      </c>
      <c r="S78" s="107">
        <f>+'Plan de Adquisiciones '!T125</f>
        <v>35495989</v>
      </c>
      <c r="T78" s="98">
        <f>+'Plan de Adquisiciones '!U125</f>
        <v>1</v>
      </c>
      <c r="U78" s="107">
        <f>+'Plan de Adquisiciones '!V125</f>
        <v>35495989</v>
      </c>
      <c r="V78" s="107">
        <f>+'Plan de Adquisiciones '!W125</f>
        <v>0</v>
      </c>
      <c r="W78" s="107">
        <f>+'Plan de Adquisiciones '!X125</f>
        <v>35495989</v>
      </c>
      <c r="X78" s="106">
        <f>+'Plan de Adquisiciones '!Y125</f>
        <v>42797</v>
      </c>
      <c r="Y78" s="98">
        <f>+'Plan de Adquisiciones '!Z125</f>
        <v>21</v>
      </c>
      <c r="Z78" s="108" t="str">
        <f>+'Plan de Adquisiciones '!AA125</f>
        <v>NOHORA ROSO GUEVARA</v>
      </c>
    </row>
    <row r="79" spans="1:26" ht="90" x14ac:dyDescent="0.25">
      <c r="A79" s="60" t="s">
        <v>163</v>
      </c>
      <c r="B79" s="62" t="s">
        <v>148</v>
      </c>
      <c r="C79" s="77" t="s">
        <v>131</v>
      </c>
      <c r="D79" s="59" t="s">
        <v>44</v>
      </c>
      <c r="E79" s="59" t="s">
        <v>44</v>
      </c>
      <c r="F79" s="98">
        <f>+'Plan de Adquisiciones '!F126</f>
        <v>0</v>
      </c>
      <c r="G79" s="98">
        <f>+'Plan de Adquisiciones '!G126</f>
        <v>184</v>
      </c>
      <c r="H79" s="98">
        <f>+'Plan de Adquisiciones '!H126</f>
        <v>0</v>
      </c>
      <c r="I79" s="98" t="str">
        <f>+'Plan de Adquisiciones '!I126</f>
        <v xml:space="preserve">Adición al contrato No. 68 de 2016 " Prestación de servicios profesionales para el diseño de una estrategia de educomunicación institucional con el uso y desarrollo de  las  Tecnologías de la Información y la Comunicación, TIC". </v>
      </c>
      <c r="J79" s="98">
        <f>+'Plan de Adquisiciones '!J126</f>
        <v>80111621</v>
      </c>
      <c r="K79" s="98" t="str">
        <f>+'Plan de Adquisiciones '!K126</f>
        <v>Asesor 105-03</v>
      </c>
      <c r="L79" s="98" t="str">
        <f>+'Plan de Adquisiciones '!L126</f>
        <v>Martha Cuevas</v>
      </c>
      <c r="M79" s="98" t="str">
        <f>+'Plan de Adquisiciones '!N126</f>
        <v>Marzo</v>
      </c>
      <c r="N79" s="98">
        <f>+'Plan de Adquisiciones '!O126</f>
        <v>10</v>
      </c>
      <c r="O79" s="98" t="str">
        <f>+'Plan de Adquisiciones '!P126</f>
        <v xml:space="preserve"> Contratación Directa</v>
      </c>
      <c r="P79" s="98" t="str">
        <f>+'Plan de Adquisiciones '!Q126</f>
        <v>Directa</v>
      </c>
      <c r="Q79" s="107">
        <f>+'Plan de Adquisiciones '!R126</f>
        <v>3811361</v>
      </c>
      <c r="R79" s="107">
        <f>+'Plan de Adquisiciones '!S126</f>
        <v>0</v>
      </c>
      <c r="S79" s="107">
        <f>+'Plan de Adquisiciones '!T126</f>
        <v>3811361</v>
      </c>
      <c r="T79" s="98">
        <f>+'Plan de Adquisiciones '!U126</f>
        <v>1</v>
      </c>
      <c r="U79" s="107">
        <f>+'Plan de Adquisiciones '!V126</f>
        <v>3811361</v>
      </c>
      <c r="V79" s="107">
        <f>+'Plan de Adquisiciones '!W126</f>
        <v>0</v>
      </c>
      <c r="W79" s="107">
        <f>+'Plan de Adquisiciones '!X126</f>
        <v>3811361</v>
      </c>
      <c r="X79" s="106">
        <f>+'Plan de Adquisiciones '!Y126</f>
        <v>42804</v>
      </c>
      <c r="Y79" s="98">
        <f>+'Plan de Adquisiciones '!Z126</f>
        <v>68</v>
      </c>
      <c r="Z79" s="108" t="str">
        <f>+'Plan de Adquisiciones '!AA126</f>
        <v>LUISA TRUJILLO MARTINEZ</v>
      </c>
    </row>
    <row r="80" spans="1:26" ht="123.75" x14ac:dyDescent="0.25">
      <c r="A80" s="60" t="s">
        <v>163</v>
      </c>
      <c r="B80" s="62" t="s">
        <v>148</v>
      </c>
      <c r="C80" s="77" t="s">
        <v>131</v>
      </c>
      <c r="D80" s="59" t="s">
        <v>44</v>
      </c>
      <c r="E80" s="59" t="s">
        <v>44</v>
      </c>
      <c r="F80" s="98">
        <f>+'Plan de Adquisiciones '!F127</f>
        <v>0</v>
      </c>
      <c r="G80" s="98">
        <f>+'Plan de Adquisiciones '!G127</f>
        <v>204</v>
      </c>
      <c r="H80" s="98">
        <f>+'Plan de Adquisiciones '!H127</f>
        <v>0</v>
      </c>
      <c r="I80" s="98" t="str">
        <f>+'Plan de Adquisiciones '!I127</f>
        <v xml:space="preserve">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v>
      </c>
      <c r="J80" s="98">
        <f>+'Plan de Adquisiciones '!J127</f>
        <v>80111601</v>
      </c>
      <c r="K80" s="98" t="str">
        <f>+'Plan de Adquisiciones '!K127</f>
        <v>Subdirector Académico</v>
      </c>
      <c r="L80" s="98" t="str">
        <f>+'Plan de Adquisiciones '!L127</f>
        <v>Juliana Gutiérrez</v>
      </c>
      <c r="M80" s="97" t="str">
        <f>+'Plan de Adquisiciones '!N100</f>
        <v>Junio</v>
      </c>
      <c r="N80" s="98">
        <f>+'Plan de Adquisiciones '!O127</f>
        <v>8</v>
      </c>
      <c r="O80" s="98" t="str">
        <f>+'Plan de Adquisiciones '!P127</f>
        <v xml:space="preserve"> Contratación Directa</v>
      </c>
      <c r="P80" s="98" t="str">
        <f>+'Plan de Adquisiciones '!Q127</f>
        <v>Directa</v>
      </c>
      <c r="Q80" s="107">
        <f>+'Plan de Adquisiciones '!R127</f>
        <v>81599902</v>
      </c>
      <c r="R80" s="107">
        <f>+'Plan de Adquisiciones '!S127</f>
        <v>0</v>
      </c>
      <c r="S80" s="107">
        <f>+'Plan de Adquisiciones '!T127</f>
        <v>81599902</v>
      </c>
      <c r="T80" s="98">
        <f>+'Plan de Adquisiciones '!U127</f>
        <v>1</v>
      </c>
      <c r="U80" s="107">
        <f>+'Plan de Adquisiciones '!V127</f>
        <v>81599902</v>
      </c>
      <c r="V80" s="107">
        <f>+'Plan de Adquisiciones '!W127</f>
        <v>0</v>
      </c>
      <c r="W80" s="107">
        <f>+'Plan de Adquisiciones '!X127</f>
        <v>81599902</v>
      </c>
      <c r="X80" s="106">
        <f>+'Plan de Adquisiciones '!Y127</f>
        <v>42843</v>
      </c>
      <c r="Y80" s="98">
        <f>+'Plan de Adquisiciones '!Z127</f>
        <v>45</v>
      </c>
      <c r="Z80" s="108" t="str">
        <f>+'Plan de Adquisiciones '!AA127</f>
        <v>CAJA DE COMPENSACIÓN FAMILIAR COMPENSAR</v>
      </c>
    </row>
    <row r="81" spans="1:26" ht="67.5" x14ac:dyDescent="0.25">
      <c r="A81" s="60" t="s">
        <v>163</v>
      </c>
      <c r="B81" s="62" t="s">
        <v>148</v>
      </c>
      <c r="C81" s="77" t="s">
        <v>131</v>
      </c>
      <c r="D81" s="59" t="s">
        <v>44</v>
      </c>
      <c r="E81" s="59" t="s">
        <v>44</v>
      </c>
      <c r="F81" s="98">
        <f>+'Plan de Adquisiciones '!F128</f>
        <v>0</v>
      </c>
      <c r="G81" s="98">
        <f>+'Plan de Adquisiciones '!G128</f>
        <v>172</v>
      </c>
      <c r="H81" s="98">
        <f>+'Plan de Adquisiciones '!H128</f>
        <v>0</v>
      </c>
      <c r="I81" s="98" t="str">
        <f>+'Plan de Adquisiciones '!I128</f>
        <v>Prestación de servicios profesionales para dar soporte a página web del IDEP y a la infraestructura tecnológica del instituto</v>
      </c>
      <c r="J81" s="98">
        <f>+'Plan de Adquisiciones '!J128</f>
        <v>81112103</v>
      </c>
      <c r="K81" s="98" t="str">
        <f>+'Plan de Adquisiciones '!K128</f>
        <v>Subdirector Académico</v>
      </c>
      <c r="L81" s="98" t="str">
        <f>+'Plan de Adquisiciones '!L128</f>
        <v>Juliana Gutiérrez</v>
      </c>
      <c r="M81" s="98" t="str">
        <f>+'Plan de Adquisiciones '!N128</f>
        <v>Marzo</v>
      </c>
      <c r="N81" s="98">
        <f>+'Plan de Adquisiciones '!O128</f>
        <v>10</v>
      </c>
      <c r="O81" s="98" t="str">
        <f>+'Plan de Adquisiciones '!P128</f>
        <v xml:space="preserve"> Contratación Directa</v>
      </c>
      <c r="P81" s="98" t="str">
        <f>+'Plan de Adquisiciones '!Q128</f>
        <v>Directa</v>
      </c>
      <c r="Q81" s="107">
        <f>+'Plan de Adquisiciones '!R128</f>
        <v>18918013</v>
      </c>
      <c r="R81" s="107">
        <f>+'Plan de Adquisiciones '!S128</f>
        <v>0</v>
      </c>
      <c r="S81" s="107">
        <f>+'Plan de Adquisiciones '!T128</f>
        <v>18918013</v>
      </c>
      <c r="T81" s="98">
        <f>+'Plan de Adquisiciones '!U128</f>
        <v>1</v>
      </c>
      <c r="U81" s="107">
        <f>+'Plan de Adquisiciones '!V128</f>
        <v>18918013</v>
      </c>
      <c r="V81" s="107">
        <f>+'Plan de Adquisiciones '!W128</f>
        <v>0</v>
      </c>
      <c r="W81" s="107">
        <f>+'Plan de Adquisiciones '!X128</f>
        <v>18918013</v>
      </c>
      <c r="X81" s="106">
        <f>+'Plan de Adquisiciones '!Y128</f>
        <v>42801</v>
      </c>
      <c r="Y81" s="98">
        <f>+'Plan de Adquisiciones '!Z128</f>
        <v>27</v>
      </c>
      <c r="Z81" s="108" t="str">
        <f>+'Plan de Adquisiciones '!AA128</f>
        <v>OSCAR LOZANO MANRIQUE</v>
      </c>
    </row>
    <row r="82" spans="1:26" ht="157.5" x14ac:dyDescent="0.25">
      <c r="A82" s="60" t="s">
        <v>163</v>
      </c>
      <c r="B82" s="62" t="s">
        <v>148</v>
      </c>
      <c r="C82" s="77" t="s">
        <v>131</v>
      </c>
      <c r="D82" s="59" t="s">
        <v>44</v>
      </c>
      <c r="E82" s="59" t="s">
        <v>44</v>
      </c>
      <c r="F82" s="98">
        <f>+'Plan de Adquisiciones '!F129</f>
        <v>0</v>
      </c>
      <c r="G82" s="98">
        <f>+'Plan de Adquisiciones '!G129</f>
        <v>174</v>
      </c>
      <c r="H82" s="98">
        <f>+'Plan de Adquisiciones '!H129</f>
        <v>0</v>
      </c>
      <c r="I82" s="98" t="str">
        <f>+'Plan de Adquisiciones '!I129</f>
        <v>Prestar servicios para difundir en televisión nacional abierta por medio de la serie “francisco el matemático”, las estrategias y campañas del distrito capital para la promoción de valores cívicos, competencias ciudadanas y autocuidado, que contribuyen al mejoramiento de la calidad de vida de la comunidad educativa del distrito y la ciudadanía en general, en el marco del plan de desarrollo “bogotá mejor para todos”</v>
      </c>
      <c r="J82" s="98">
        <f>+'Plan de Adquisiciones '!J129</f>
        <v>80111621</v>
      </c>
      <c r="K82" s="98" t="str">
        <f>+'Plan de Adquisiciones '!K129</f>
        <v>Subdirector Académico</v>
      </c>
      <c r="L82" s="98" t="str">
        <f>+'Plan de Adquisiciones '!L129</f>
        <v>Juliana Gutiérrez</v>
      </c>
      <c r="M82" s="98" t="str">
        <f>+'Plan de Adquisiciones '!N129</f>
        <v>Febrero</v>
      </c>
      <c r="N82" s="98">
        <f>+'Plan de Adquisiciones '!O129</f>
        <v>10</v>
      </c>
      <c r="O82" s="98" t="str">
        <f>+'Plan de Adquisiciones '!P129</f>
        <v xml:space="preserve"> Contratación Directa</v>
      </c>
      <c r="P82" s="98" t="str">
        <f>+'Plan de Adquisiciones '!Q129</f>
        <v>Directa</v>
      </c>
      <c r="Q82" s="107">
        <f>+'Plan de Adquisiciones '!R129</f>
        <v>167094477</v>
      </c>
      <c r="R82" s="107">
        <f>+'Plan de Adquisiciones '!S129</f>
        <v>0</v>
      </c>
      <c r="S82" s="107">
        <f>+'Plan de Adquisiciones '!T129</f>
        <v>167094477</v>
      </c>
      <c r="T82" s="98">
        <f>+'Plan de Adquisiciones '!U129</f>
        <v>1</v>
      </c>
      <c r="U82" s="107">
        <f>+'Plan de Adquisiciones '!V129</f>
        <v>167094477</v>
      </c>
      <c r="V82" s="107">
        <f>+'Plan de Adquisiciones '!W129</f>
        <v>0</v>
      </c>
      <c r="W82" s="107">
        <f>+'Plan de Adquisiciones '!X129</f>
        <v>167094477</v>
      </c>
      <c r="X82" s="106">
        <f>+'Plan de Adquisiciones '!Y129</f>
        <v>42804</v>
      </c>
      <c r="Y82" s="98">
        <f>+'Plan de Adquisiciones '!Z129</f>
        <v>33</v>
      </c>
      <c r="Z82" s="108" t="str">
        <f>+'Plan de Adquisiciones '!AA129</f>
        <v>RCN TELEVISIÓN</v>
      </c>
    </row>
    <row r="83" spans="1:26" ht="78.75" x14ac:dyDescent="0.25">
      <c r="A83" s="60" t="s">
        <v>163</v>
      </c>
      <c r="B83" s="62" t="s">
        <v>148</v>
      </c>
      <c r="C83" s="77" t="s">
        <v>131</v>
      </c>
      <c r="D83" s="59" t="s">
        <v>44</v>
      </c>
      <c r="E83" s="59" t="s">
        <v>44</v>
      </c>
      <c r="F83" s="98">
        <f>+'Plan de Adquisiciones '!F130</f>
        <v>0</v>
      </c>
      <c r="G83" s="98">
        <f>+'Plan de Adquisiciones '!G130</f>
        <v>143</v>
      </c>
      <c r="H83" s="98">
        <f>+'Plan de Adquisiciones '!H130</f>
        <v>0</v>
      </c>
      <c r="I83" s="98" t="str">
        <f>+'Plan de Adquisiciones '!I130</f>
        <v>Arrendar un (1) stand, con el propósito que el Instituto para la Investigación Educativa y el Desarrollo Pedagógico IDEP, participe como expositor en la XXX Feria Internacional del Libro de Bogotá -Colombia</v>
      </c>
      <c r="J83" s="98">
        <f>+'Plan de Adquisiciones '!J130</f>
        <v>80111621</v>
      </c>
      <c r="K83" s="98" t="str">
        <f>+'Plan de Adquisiciones '!K130</f>
        <v>Profesional 222-05</v>
      </c>
      <c r="L83" s="98" t="str">
        <f>+'Plan de Adquisiciones '!L130</f>
        <v>Diana Prada</v>
      </c>
      <c r="M83" s="98" t="str">
        <f>+'Plan de Adquisiciones '!N130</f>
        <v>Marzo</v>
      </c>
      <c r="N83" s="98">
        <f>+'Plan de Adquisiciones '!O130</f>
        <v>2</v>
      </c>
      <c r="O83" s="98" t="str">
        <f>+'Plan de Adquisiciones '!P130</f>
        <v xml:space="preserve"> Contratación Directa</v>
      </c>
      <c r="P83" s="98" t="str">
        <f>+'Plan de Adquisiciones '!Q130</f>
        <v>Directa</v>
      </c>
      <c r="Q83" s="107">
        <f>+'Plan de Adquisiciones '!R130</f>
        <v>12003538</v>
      </c>
      <c r="R83" s="107">
        <f>+'Plan de Adquisiciones '!S130</f>
        <v>0</v>
      </c>
      <c r="S83" s="107">
        <f>+'Plan de Adquisiciones '!T130</f>
        <v>12003538</v>
      </c>
      <c r="T83" s="98">
        <f>+'Plan de Adquisiciones '!U130</f>
        <v>1</v>
      </c>
      <c r="U83" s="107">
        <f>+'Plan de Adquisiciones '!V130</f>
        <v>12003538</v>
      </c>
      <c r="V83" s="107">
        <f>+'Plan de Adquisiciones '!W130</f>
        <v>0</v>
      </c>
      <c r="W83" s="107">
        <f>+'Plan de Adquisiciones '!X130</f>
        <v>12003538</v>
      </c>
      <c r="X83" s="106">
        <f>+'Plan de Adquisiciones '!Y130</f>
        <v>42818</v>
      </c>
      <c r="Y83" s="98">
        <f>+'Plan de Adquisiciones '!Z130</f>
        <v>38</v>
      </c>
      <c r="Z83" s="108" t="str">
        <f>+'Plan de Adquisiciones '!AA130</f>
        <v>EXPOSICIÓN DE FERIAS Y EXPOSICIONES S.A.</v>
      </c>
    </row>
    <row r="84" spans="1:26" ht="65.25" customHeight="1" x14ac:dyDescent="0.25">
      <c r="A84" s="60" t="s">
        <v>163</v>
      </c>
      <c r="B84" s="62" t="s">
        <v>148</v>
      </c>
      <c r="C84" s="77" t="s">
        <v>131</v>
      </c>
      <c r="D84" s="59" t="s">
        <v>44</v>
      </c>
      <c r="E84" s="59" t="s">
        <v>44</v>
      </c>
      <c r="F84" s="98" t="str">
        <f>+'Plan de Adquisiciones '!F132</f>
        <v>Documentación  información y memoria institucional componente 2</v>
      </c>
      <c r="G84" s="98">
        <f>+'Plan de Adquisiciones '!G132</f>
        <v>144</v>
      </c>
      <c r="H84" s="98">
        <f>+'Plan de Adquisiciones '!H132</f>
        <v>0</v>
      </c>
      <c r="I84" s="98" t="str">
        <f>+'Plan de Adquisiciones '!I132</f>
        <v>Prestación de servicios profesionales para implementar una estrategia de formación docente que haga uso del Centro Virtual de Memoria en Educación y Pedagogía del IDEP.</v>
      </c>
      <c r="J84" s="98">
        <f>+'Plan de Adquisiciones '!J132</f>
        <v>80111621</v>
      </c>
      <c r="K84" s="98" t="str">
        <f>+'Plan de Adquisiciones '!K132</f>
        <v>Profesional 222-05</v>
      </c>
      <c r="L84" s="98" t="str">
        <f>+'Plan de Adquisiciones '!L132</f>
        <v>Amanda Cortés</v>
      </c>
      <c r="M84" s="98" t="str">
        <f>+'Plan de Adquisiciones '!N132</f>
        <v>Marzo</v>
      </c>
      <c r="N84" s="98">
        <f>+'Plan de Adquisiciones '!O132</f>
        <v>6</v>
      </c>
      <c r="O84" s="98" t="str">
        <f>+'Plan de Adquisiciones '!P132</f>
        <v xml:space="preserve"> Contratación Directa</v>
      </c>
      <c r="P84" s="98" t="str">
        <f>+'Plan de Adquisiciones '!Q132</f>
        <v>Directa</v>
      </c>
      <c r="Q84" s="107">
        <f>+'Plan de Adquisiciones '!R132</f>
        <v>52000620</v>
      </c>
      <c r="R84" s="107">
        <f>+'Plan de Adquisiciones '!S132</f>
        <v>0</v>
      </c>
      <c r="S84" s="107">
        <f>+'Plan de Adquisiciones '!T132</f>
        <v>52000620</v>
      </c>
      <c r="T84" s="98">
        <f>+'Plan de Adquisiciones '!U132</f>
        <v>1</v>
      </c>
      <c r="U84" s="107">
        <f>+'Plan de Adquisiciones '!V132</f>
        <v>52000620</v>
      </c>
      <c r="V84" s="107">
        <f>+'Plan de Adquisiciones '!W132</f>
        <v>0</v>
      </c>
      <c r="W84" s="107">
        <f>+'Plan de Adquisiciones '!X132</f>
        <v>52000620</v>
      </c>
      <c r="X84" s="106">
        <f>+'Plan de Adquisiciones '!Y132</f>
        <v>42831</v>
      </c>
      <c r="Y84" s="98">
        <f>+'Plan de Adquisiciones '!Z132</f>
        <v>42</v>
      </c>
      <c r="Z84" s="108" t="str">
        <f>+'Plan de Adquisiciones '!AA132</f>
        <v>FUNDACION VIVENCIA</v>
      </c>
    </row>
    <row r="85" spans="1:26" ht="123.75" x14ac:dyDescent="0.25">
      <c r="A85" s="60" t="s">
        <v>163</v>
      </c>
      <c r="B85" s="62" t="s">
        <v>148</v>
      </c>
      <c r="C85" s="77" t="s">
        <v>131</v>
      </c>
      <c r="D85" s="59" t="s">
        <v>44</v>
      </c>
      <c r="E85" s="59" t="s">
        <v>44</v>
      </c>
      <c r="F85" s="98" t="str">
        <f>+'Plan de Adquisiciones '!F134</f>
        <v>Prensa Componente 2</v>
      </c>
      <c r="G85" s="98">
        <f>+'Plan de Adquisiciones '!G134</f>
        <v>204</v>
      </c>
      <c r="H85" s="98">
        <f>+'Plan de Adquisiciones '!H134</f>
        <v>0</v>
      </c>
      <c r="I85" s="98" t="str">
        <f>+'Plan de Adquisiciones '!I134</f>
        <v xml:space="preserve">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 </v>
      </c>
      <c r="J85" s="98" t="str">
        <f>+'Plan de Adquisiciones '!J134</f>
        <v>82111901
 82111902</v>
      </c>
      <c r="K85" s="98" t="str">
        <f>+'Plan de Adquisiciones '!K134</f>
        <v>Subdirector Académico</v>
      </c>
      <c r="L85" s="98" t="str">
        <f>+'Plan de Adquisiciones '!L134</f>
        <v>Juliana Gutiérrez</v>
      </c>
      <c r="M85" s="98" t="str">
        <f>+'Plan de Adquisiciones '!N134</f>
        <v>Mayo</v>
      </c>
      <c r="N85" s="98">
        <f>+'Plan de Adquisiciones '!O134</f>
        <v>1</v>
      </c>
      <c r="O85" s="98" t="str">
        <f>+'Plan de Adquisiciones '!P134</f>
        <v xml:space="preserve"> Contratación Directa</v>
      </c>
      <c r="P85" s="98" t="str">
        <f>+'Plan de Adquisiciones '!Q134</f>
        <v>Directa</v>
      </c>
      <c r="Q85" s="107">
        <f>+'Plan de Adquisiciones '!R134</f>
        <v>2213027</v>
      </c>
      <c r="R85" s="107">
        <f>+'Plan de Adquisiciones '!S134</f>
        <v>0</v>
      </c>
      <c r="S85" s="107">
        <f>+'Plan de Adquisiciones '!T134</f>
        <v>2213027</v>
      </c>
      <c r="T85" s="98">
        <f>+'Plan de Adquisiciones '!U134</f>
        <v>1</v>
      </c>
      <c r="U85" s="107">
        <f>+'Plan de Adquisiciones '!V134</f>
        <v>2213027</v>
      </c>
      <c r="V85" s="107">
        <f>+'Plan de Adquisiciones '!W134</f>
        <v>0</v>
      </c>
      <c r="W85" s="107">
        <f>+'Plan de Adquisiciones '!X134</f>
        <v>2213027</v>
      </c>
      <c r="X85" s="106">
        <f>+'Plan de Adquisiciones '!Y134</f>
        <v>42843</v>
      </c>
      <c r="Y85" s="98">
        <f>+'Plan de Adquisiciones '!Z134</f>
        <v>45</v>
      </c>
      <c r="Z85" s="108" t="str">
        <f>+'Plan de Adquisiciones '!AA134</f>
        <v>CAJA DE COMPENSACIÓN FAMILIAR COMPENSAR</v>
      </c>
    </row>
    <row r="86" spans="1:26" ht="90" x14ac:dyDescent="0.25">
      <c r="A86" s="60" t="s">
        <v>163</v>
      </c>
      <c r="B86" s="62" t="s">
        <v>148</v>
      </c>
      <c r="C86" s="77" t="s">
        <v>131</v>
      </c>
      <c r="D86" s="59" t="s">
        <v>44</v>
      </c>
      <c r="E86" s="59" t="s">
        <v>44</v>
      </c>
      <c r="F86" s="98" t="str">
        <f>+'Plan de Adquisiciones '!F136</f>
        <v>Reconocimiento docente</v>
      </c>
      <c r="G86" s="98">
        <f>+'Plan de Adquisiciones '!G136</f>
        <v>242</v>
      </c>
      <c r="H86" s="98">
        <f>+'Plan de Adquisiciones '!H136</f>
        <v>0</v>
      </c>
      <c r="I86" s="98" t="str">
        <f>+'Plan de Adquisiciones '!I136</f>
        <v>Prestación de servicios profesionales para apoyar la gestión académica y administrativa de la XI versión del Premio a la Investigación e Innovación educativa, en el marco del Convenio 1452 de 2017 en su componente 5.</v>
      </c>
      <c r="J86" s="98">
        <f>+'Plan de Adquisiciones '!J136</f>
        <v>80111621</v>
      </c>
      <c r="K86" s="98" t="str">
        <f>+'Plan de Adquisiciones '!K136</f>
        <v>Asesor 105-02</v>
      </c>
      <c r="L86" s="98" t="str">
        <f>+'Plan de Adquisiciones '!L136</f>
        <v>María Isabel Ramírez</v>
      </c>
      <c r="M86" s="97" t="str">
        <f>+'Plan de Adquisiciones '!N106</f>
        <v>Abril</v>
      </c>
      <c r="N86" s="98">
        <f>+'Plan de Adquisiciones '!O136</f>
        <v>8</v>
      </c>
      <c r="O86" s="98" t="str">
        <f>+'Plan de Adquisiciones '!P136</f>
        <v xml:space="preserve"> Contratación Directa</v>
      </c>
      <c r="P86" s="98" t="str">
        <f>+'Plan de Adquisiciones '!Q136</f>
        <v>Directa</v>
      </c>
      <c r="Q86" s="107">
        <f>+'Plan de Adquisiciones '!R136</f>
        <v>0</v>
      </c>
      <c r="R86" s="107">
        <f>+'Plan de Adquisiciones '!S136</f>
        <v>36682979</v>
      </c>
      <c r="S86" s="107">
        <f>+'Plan de Adquisiciones '!T136</f>
        <v>36682979</v>
      </c>
      <c r="T86" s="98">
        <f>+'Plan de Adquisiciones '!U136</f>
        <v>1</v>
      </c>
      <c r="U86" s="107">
        <f>+'Plan de Adquisiciones '!V136</f>
        <v>0</v>
      </c>
      <c r="V86" s="107">
        <f>+'Plan de Adquisiciones '!W136</f>
        <v>36682979</v>
      </c>
      <c r="W86" s="107">
        <f>+'Plan de Adquisiciones '!X136</f>
        <v>36682979</v>
      </c>
      <c r="X86" s="106">
        <f>+'Plan de Adquisiciones '!Y136</f>
        <v>42844</v>
      </c>
      <c r="Y86" s="98">
        <f>+'Plan de Adquisiciones '!Z136</f>
        <v>52</v>
      </c>
      <c r="Z86" s="108" t="str">
        <f>+'Plan de Adquisiciones '!AA136</f>
        <v>YUDY CAMARGO CAMARGO</v>
      </c>
    </row>
    <row r="87" spans="1:26" ht="112.5" x14ac:dyDescent="0.25">
      <c r="A87" s="60" t="s">
        <v>163</v>
      </c>
      <c r="B87" s="62" t="s">
        <v>148</v>
      </c>
      <c r="C87" s="77" t="s">
        <v>131</v>
      </c>
      <c r="D87" s="59" t="s">
        <v>44</v>
      </c>
      <c r="E87" s="59" t="s">
        <v>44</v>
      </c>
      <c r="F87" s="98">
        <f>+'Plan de Adquisiciones '!F137</f>
        <v>0</v>
      </c>
      <c r="G87" s="98">
        <f>+'Plan de Adquisiciones '!G137</f>
        <v>278</v>
      </c>
      <c r="H87" s="98">
        <f>+'Plan de Adquisiciones '!H137</f>
        <v>0</v>
      </c>
      <c r="I87" s="98" t="str">
        <f>+'Plan de Adquisiciones '!I137</f>
        <v>Prestación de servicios para el desarrollo de un aplicativo como solución tecnológica, que permita fortalecer y administrar la convocatoria del Premio a la investigación e Innovación Educativa desde el micrositio del mismo, en el marco del convenio 1452 de 2017 en su componente 5.</v>
      </c>
      <c r="J87" s="98">
        <f>+'Plan de Adquisiciones '!J137</f>
        <v>80111621</v>
      </c>
      <c r="K87" s="98" t="str">
        <f>+'Plan de Adquisiciones '!K137</f>
        <v>Asesor 105-02</v>
      </c>
      <c r="L87" s="98" t="str">
        <f>+'Plan de Adquisiciones '!L137</f>
        <v>María Isabel Ramírez</v>
      </c>
      <c r="M87" s="98" t="str">
        <f>+'Plan de Adquisiciones '!N137</f>
        <v>Octubre</v>
      </c>
      <c r="N87" s="98">
        <f>+'Plan de Adquisiciones '!O137</f>
        <v>2</v>
      </c>
      <c r="O87" s="98" t="str">
        <f>+'Plan de Adquisiciones '!P137</f>
        <v>Selección Abreviada Menor cuantía</v>
      </c>
      <c r="P87" s="98" t="str">
        <f>+'Plan de Adquisiciones '!Q137</f>
        <v>Selección Abreviada Menor cuantía</v>
      </c>
      <c r="Q87" s="107">
        <f>+'Plan de Adquisiciones '!R137</f>
        <v>0</v>
      </c>
      <c r="R87" s="107">
        <f>+'Plan de Adquisiciones '!S137</f>
        <v>0</v>
      </c>
      <c r="S87" s="107">
        <f>+'Plan de Adquisiciones '!T137</f>
        <v>0</v>
      </c>
      <c r="T87" s="98">
        <f>+'Plan de Adquisiciones '!U137</f>
        <v>0</v>
      </c>
      <c r="U87" s="107">
        <f>+'Plan de Adquisiciones '!V137</f>
        <v>0</v>
      </c>
      <c r="V87" s="107">
        <f>+'Plan de Adquisiciones '!W137</f>
        <v>0</v>
      </c>
      <c r="W87" s="107">
        <f>+'Plan de Adquisiciones '!X137</f>
        <v>0</v>
      </c>
      <c r="X87" s="106"/>
      <c r="Y87" s="98">
        <f>+'Plan de Adquisiciones '!Z137</f>
        <v>0</v>
      </c>
      <c r="Z87" s="108">
        <f>+'Plan de Adquisiciones '!AA137</f>
        <v>0</v>
      </c>
    </row>
    <row r="88" spans="1:26" ht="67.5" x14ac:dyDescent="0.25">
      <c r="A88" s="60" t="s">
        <v>163</v>
      </c>
      <c r="B88" s="62" t="s">
        <v>148</v>
      </c>
      <c r="C88" s="77" t="s">
        <v>131</v>
      </c>
      <c r="D88" s="59" t="s">
        <v>44</v>
      </c>
      <c r="E88" s="59" t="s">
        <v>44</v>
      </c>
      <c r="F88" s="98" t="e">
        <f>+'Plan de Adquisiciones '!#REF!</f>
        <v>#REF!</v>
      </c>
      <c r="G88" s="98" t="e">
        <f>+'Plan de Adquisiciones '!#REF!</f>
        <v>#REF!</v>
      </c>
      <c r="H88" s="98" t="e">
        <f>+'Plan de Adquisiciones '!#REF!</f>
        <v>#REF!</v>
      </c>
      <c r="I88" s="98" t="e">
        <f>+'Plan de Adquisiciones '!#REF!</f>
        <v>#REF!</v>
      </c>
      <c r="J88" s="98" t="e">
        <f>+'Plan de Adquisiciones '!#REF!</f>
        <v>#REF!</v>
      </c>
      <c r="K88" s="98" t="e">
        <f>+'Plan de Adquisiciones '!#REF!</f>
        <v>#REF!</v>
      </c>
      <c r="L88" s="98" t="e">
        <f>+'Plan de Adquisiciones '!#REF!</f>
        <v>#REF!</v>
      </c>
      <c r="M88" s="98" t="e">
        <f>+'Plan de Adquisiciones '!#REF!</f>
        <v>#REF!</v>
      </c>
      <c r="N88" s="98" t="e">
        <f>+'Plan de Adquisiciones '!#REF!</f>
        <v>#REF!</v>
      </c>
      <c r="O88" s="98" t="e">
        <f>+'Plan de Adquisiciones '!#REF!</f>
        <v>#REF!</v>
      </c>
      <c r="P88" s="98" t="e">
        <f>+'Plan de Adquisiciones '!#REF!</f>
        <v>#REF!</v>
      </c>
      <c r="Q88" s="107" t="e">
        <f>+'Plan de Adquisiciones '!#REF!</f>
        <v>#REF!</v>
      </c>
      <c r="R88" s="107" t="e">
        <f>+'Plan de Adquisiciones '!#REF!</f>
        <v>#REF!</v>
      </c>
      <c r="S88" s="107" t="e">
        <f>+'Plan de Adquisiciones '!#REF!</f>
        <v>#REF!</v>
      </c>
      <c r="T88" s="98" t="e">
        <f>+'Plan de Adquisiciones '!#REF!</f>
        <v>#REF!</v>
      </c>
      <c r="U88" s="107" t="e">
        <f>+'Plan de Adquisiciones '!#REF!</f>
        <v>#REF!</v>
      </c>
      <c r="V88" s="107" t="e">
        <f>+'Plan de Adquisiciones '!#REF!</f>
        <v>#REF!</v>
      </c>
      <c r="W88" s="107" t="e">
        <f>+'Plan de Adquisiciones '!#REF!</f>
        <v>#REF!</v>
      </c>
      <c r="X88" s="106"/>
      <c r="Y88" s="98" t="e">
        <f>+'Plan de Adquisiciones '!#REF!</f>
        <v>#REF!</v>
      </c>
      <c r="Z88" s="108" t="e">
        <f>+'Plan de Adquisiciones '!#REF!</f>
        <v>#REF!</v>
      </c>
    </row>
    <row r="89" spans="1:26" ht="101.25" x14ac:dyDescent="0.25">
      <c r="A89" s="60" t="s">
        <v>163</v>
      </c>
      <c r="B89" s="62" t="s">
        <v>148</v>
      </c>
      <c r="C89" s="77" t="s">
        <v>131</v>
      </c>
      <c r="D89" s="59" t="s">
        <v>44</v>
      </c>
      <c r="E89" s="59" t="s">
        <v>44</v>
      </c>
      <c r="F89" s="98">
        <f>+'Plan de Adquisiciones '!F139</f>
        <v>0</v>
      </c>
      <c r="G89" s="98">
        <f>+'Plan de Adquisiciones '!G139</f>
        <v>245</v>
      </c>
      <c r="H89" s="98">
        <f>+'Plan de Adquisiciones '!H139</f>
        <v>0</v>
      </c>
      <c r="I89" s="98" t="str">
        <f>+'Plan de Adquisiciones '!I139</f>
        <v>Prestación de servicios para adelantar el proceso de evaluación de los proyectos de investigación e innovación habilitados, en la XI versión del Premio de Investigación e Innovación Educativa, en el marco del Convenio 1452 de 2017 en su componente 5.</v>
      </c>
      <c r="J89" s="98">
        <f>+'Plan de Adquisiciones '!J139</f>
        <v>80111621</v>
      </c>
      <c r="K89" s="98" t="str">
        <f>+'Plan de Adquisiciones '!K139</f>
        <v>Profesional Universitario 219-01</v>
      </c>
      <c r="L89" s="98" t="str">
        <f>+'Plan de Adquisiciones '!L139</f>
        <v>Alexandra Díaz</v>
      </c>
      <c r="M89" s="98" t="str">
        <f>+'Plan de Adquisiciones '!N139</f>
        <v>Agosto</v>
      </c>
      <c r="N89" s="98">
        <f>+'Plan de Adquisiciones '!O139</f>
        <v>5</v>
      </c>
      <c r="O89" s="98" t="str">
        <f>+'Plan de Adquisiciones '!P139</f>
        <v xml:space="preserve"> Contratación Directa</v>
      </c>
      <c r="P89" s="98" t="str">
        <f>+'Plan de Adquisiciones '!Q139</f>
        <v>Directa</v>
      </c>
      <c r="Q89" s="107">
        <f>+'Plan de Adquisiciones '!R139</f>
        <v>0</v>
      </c>
      <c r="R89" s="107">
        <f>+'Plan de Adquisiciones '!S139</f>
        <v>278334000</v>
      </c>
      <c r="S89" s="107">
        <f>+'Plan de Adquisiciones '!T139</f>
        <v>278334000</v>
      </c>
      <c r="T89" s="98">
        <f>+'Plan de Adquisiciones '!U139</f>
        <v>0</v>
      </c>
      <c r="U89" s="107">
        <f>+'Plan de Adquisiciones '!V139</f>
        <v>0</v>
      </c>
      <c r="V89" s="107">
        <f>+'Plan de Adquisiciones '!W139</f>
        <v>278334000</v>
      </c>
      <c r="W89" s="107">
        <f>+'Plan de Adquisiciones '!X139</f>
        <v>278334000</v>
      </c>
      <c r="X89" s="106"/>
      <c r="Y89" s="98">
        <f>+'Plan de Adquisiciones '!Z139</f>
        <v>106</v>
      </c>
      <c r="Z89" s="108" t="str">
        <f>+'Plan de Adquisiciones '!AA139</f>
        <v>UNIVERSIDAD NACIONAL</v>
      </c>
    </row>
    <row r="90" spans="1:26" ht="146.25" x14ac:dyDescent="0.25">
      <c r="A90" s="60" t="s">
        <v>163</v>
      </c>
      <c r="B90" s="62" t="s">
        <v>148</v>
      </c>
      <c r="C90" s="77" t="s">
        <v>131</v>
      </c>
      <c r="D90" s="59" t="s">
        <v>44</v>
      </c>
      <c r="E90" s="59" t="s">
        <v>44</v>
      </c>
      <c r="F90" s="98">
        <f>+'Plan de Adquisiciones '!F140</f>
        <v>0</v>
      </c>
      <c r="G90" s="98">
        <f>+'Plan de Adquisiciones '!G140</f>
        <v>246</v>
      </c>
      <c r="H90" s="98">
        <f>+'Plan de Adquisiciones '!H140</f>
        <v>0</v>
      </c>
      <c r="I90" s="98" t="str">
        <f>+'Plan de Adquisiciones '!I140</f>
        <v>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v>
      </c>
      <c r="J90" s="98">
        <f>+'Plan de Adquisiciones '!J140</f>
        <v>80111621</v>
      </c>
      <c r="K90" s="98" t="str">
        <f>+'Plan de Adquisiciones '!K140</f>
        <v>Asesor 105-02</v>
      </c>
      <c r="L90" s="98" t="str">
        <f>+'Plan de Adquisiciones '!L140</f>
        <v>María Isabel Ramírez</v>
      </c>
      <c r="M90" s="98" t="str">
        <f>+'Plan de Adquisiciones '!N140</f>
        <v>Mayo</v>
      </c>
      <c r="N90" s="98">
        <f>+'Plan de Adquisiciones '!O140</f>
        <v>7</v>
      </c>
      <c r="O90" s="98" t="str">
        <f>+'Plan de Adquisiciones '!P140</f>
        <v xml:space="preserve"> Contratación Directa</v>
      </c>
      <c r="P90" s="98" t="str">
        <f>+'Plan de Adquisiciones '!Q140</f>
        <v>Directa</v>
      </c>
      <c r="Q90" s="107">
        <f>+'Plan de Adquisiciones '!R140</f>
        <v>0</v>
      </c>
      <c r="R90" s="107">
        <f>+'Plan de Adquisiciones '!S140</f>
        <v>432523468</v>
      </c>
      <c r="S90" s="107">
        <f>+'Plan de Adquisiciones '!T140</f>
        <v>432523468</v>
      </c>
      <c r="T90" s="98">
        <f>+'Plan de Adquisiciones '!U140</f>
        <v>0</v>
      </c>
      <c r="U90" s="107">
        <f>+'Plan de Adquisiciones '!V140</f>
        <v>0</v>
      </c>
      <c r="V90" s="107">
        <f>+'Plan de Adquisiciones '!W140</f>
        <v>432523468</v>
      </c>
      <c r="W90" s="107">
        <f>+'Plan de Adquisiciones '!X140</f>
        <v>432523468</v>
      </c>
      <c r="X90" s="106"/>
      <c r="Y90" s="98">
        <f>+'Plan de Adquisiciones '!Z140</f>
        <v>82</v>
      </c>
      <c r="Z90" s="108" t="str">
        <f>+'Plan de Adquisiciones '!AA140</f>
        <v>CORPORACION MIXTA PARA LA INVESTIGACION Y DESARROLLO DE LA EDUCACION - CORPOEDUCACION</v>
      </c>
    </row>
    <row r="91" spans="1:26" ht="90" x14ac:dyDescent="0.25">
      <c r="A91" s="60" t="s">
        <v>163</v>
      </c>
      <c r="B91" s="62" t="s">
        <v>148</v>
      </c>
      <c r="C91" s="77" t="s">
        <v>131</v>
      </c>
      <c r="D91" s="59" t="s">
        <v>44</v>
      </c>
      <c r="E91" s="59" t="s">
        <v>44</v>
      </c>
      <c r="F91" s="98">
        <f>+'Plan de Adquisiciones '!F141</f>
        <v>0</v>
      </c>
      <c r="G91" s="98">
        <f>+'Plan de Adquisiciones '!G141</f>
        <v>247</v>
      </c>
      <c r="H91" s="98">
        <f>+'Plan de Adquisiciones '!H141</f>
        <v>0</v>
      </c>
      <c r="I91" s="98" t="str">
        <f>+'Plan de Adquisiciones '!I141</f>
        <v>Prestación de servicios profesionales para apoyar la gestión académica, logística y administrativa de las actividades culturales, académicas e incentivos, en el marco del Convenio 1452 de 2017 en su componente 5.</v>
      </c>
      <c r="J91" s="98">
        <f>+'Plan de Adquisiciones '!J141</f>
        <v>80111621</v>
      </c>
      <c r="K91" s="98" t="str">
        <f>+'Plan de Adquisiciones '!K141</f>
        <v>Asesor 105-02</v>
      </c>
      <c r="L91" s="98" t="str">
        <f>+'Plan de Adquisiciones '!L141</f>
        <v>María Isabel Ramírez</v>
      </c>
      <c r="M91" s="97" t="str">
        <f>+'Plan de Adquisiciones '!N141</f>
        <v>Abril</v>
      </c>
      <c r="N91" s="98">
        <f>+'Plan de Adquisiciones '!O141</f>
        <v>8</v>
      </c>
      <c r="O91" s="98" t="str">
        <f>+'Plan de Adquisiciones '!P141</f>
        <v xml:space="preserve"> Contratación Directa</v>
      </c>
      <c r="P91" s="98" t="str">
        <f>+'Plan de Adquisiciones '!Q141</f>
        <v>Directa</v>
      </c>
      <c r="Q91" s="107">
        <f>+'Plan de Adquisiciones '!R141</f>
        <v>0</v>
      </c>
      <c r="R91" s="107">
        <f>+'Plan de Adquisiciones '!S141</f>
        <v>36682979</v>
      </c>
      <c r="S91" s="107">
        <f>+'Plan de Adquisiciones '!T141</f>
        <v>36682979</v>
      </c>
      <c r="T91" s="98">
        <f>+'Plan de Adquisiciones '!U141</f>
        <v>1</v>
      </c>
      <c r="U91" s="107">
        <f>+'Plan de Adquisiciones '!V141</f>
        <v>0</v>
      </c>
      <c r="V91" s="107">
        <f>+'Plan de Adquisiciones '!W141</f>
        <v>36682979</v>
      </c>
      <c r="W91" s="107">
        <f>+'Plan de Adquisiciones '!X141</f>
        <v>36682979</v>
      </c>
      <c r="X91" s="106">
        <f>+'Plan de Adquisiciones '!Y141</f>
        <v>42844</v>
      </c>
      <c r="Y91" s="98">
        <f>+'Plan de Adquisiciones '!Z141</f>
        <v>50</v>
      </c>
      <c r="Z91" s="108" t="str">
        <f>+'Plan de Adquisiciones '!AA141</f>
        <v>OSCAR JULIO SEGURA MARTINEZ</v>
      </c>
    </row>
    <row r="92" spans="1:26" ht="42.75" customHeight="1" x14ac:dyDescent="0.25">
      <c r="A92" s="60" t="s">
        <v>163</v>
      </c>
      <c r="B92" s="75" t="s">
        <v>148</v>
      </c>
      <c r="C92" s="76" t="s">
        <v>131</v>
      </c>
      <c r="D92" s="59" t="s">
        <v>44</v>
      </c>
      <c r="E92" s="59" t="s">
        <v>44</v>
      </c>
      <c r="F92" s="98">
        <f>+'Plan de Adquisiciones '!F142</f>
        <v>0</v>
      </c>
      <c r="G92" s="98">
        <f>+'Plan de Adquisiciones '!G142</f>
        <v>254</v>
      </c>
      <c r="H92" s="98">
        <f>+'Plan de Adquisiciones '!H142</f>
        <v>0</v>
      </c>
      <c r="I92" s="98" t="str">
        <f>+'Plan de Adquisiciones '!I142</f>
        <v>Prestación de servicios para apoyar la participación de los maestros, maestras y directivos docentes del sector oficial en el 13er Congreso Nacional de Lectura: Iguales pero diversos, en el marco del Convenio 1452 de 2017.</v>
      </c>
      <c r="J92" s="98">
        <f>+'Plan de Adquisiciones '!J142</f>
        <v>80111621</v>
      </c>
      <c r="K92" s="98" t="str">
        <f>+'Plan de Adquisiciones '!K142</f>
        <v>Asesor 105-02</v>
      </c>
      <c r="L92" s="98" t="str">
        <f>+'Plan de Adquisiciones '!L142</f>
        <v>María Isabel Ramírez</v>
      </c>
      <c r="M92" s="97" t="str">
        <f>+'Plan de Adquisiciones '!N112</f>
        <v>Mayo</v>
      </c>
      <c r="N92" s="98">
        <f>+'Plan de Adquisiciones '!O142</f>
        <v>1</v>
      </c>
      <c r="O92" s="98" t="str">
        <f>+'Plan de Adquisiciones '!P142</f>
        <v xml:space="preserve"> Contratación Directa</v>
      </c>
      <c r="P92" s="98" t="str">
        <f>+'Plan de Adquisiciones '!Q142</f>
        <v>Directa</v>
      </c>
      <c r="Q92" s="107">
        <f>+'Plan de Adquisiciones '!R142</f>
        <v>0</v>
      </c>
      <c r="R92" s="107">
        <f>+'Plan de Adquisiciones '!S142</f>
        <v>30000000</v>
      </c>
      <c r="S92" s="107">
        <f>+'Plan de Adquisiciones '!T142</f>
        <v>30000000</v>
      </c>
      <c r="T92" s="98">
        <f>+'Plan de Adquisiciones '!U142</f>
        <v>1</v>
      </c>
      <c r="U92" s="107">
        <f>+'Plan de Adquisiciones '!V142</f>
        <v>0</v>
      </c>
      <c r="V92" s="107">
        <f>+'Plan de Adquisiciones '!W142</f>
        <v>30000000</v>
      </c>
      <c r="W92" s="107">
        <f>+'Plan de Adquisiciones '!X142</f>
        <v>30000000</v>
      </c>
      <c r="X92" s="106">
        <f>+'Plan de Adquisiciones '!Y142</f>
        <v>42851</v>
      </c>
      <c r="Y92" s="98">
        <f>+'Plan de Adquisiciones '!Z142</f>
        <v>60</v>
      </c>
      <c r="Z92" s="108" t="str">
        <f>+'Plan de Adquisiciones '!AA142</f>
        <v>FUNDALECTURA</v>
      </c>
    </row>
    <row r="93" spans="1:26" ht="135" x14ac:dyDescent="0.25">
      <c r="A93" s="75" t="s">
        <v>171</v>
      </c>
      <c r="B93" s="75" t="s">
        <v>149</v>
      </c>
      <c r="C93" s="75" t="s">
        <v>233</v>
      </c>
      <c r="D93" s="78" t="s">
        <v>153</v>
      </c>
      <c r="E93" s="79" t="s">
        <v>20</v>
      </c>
      <c r="F93" s="98" t="str">
        <f>+'Plan de Adquisiciones '!F153</f>
        <v>Sostenibilidad del SiG en el ámbito de los Subsistemas de Calidad  , Control interno, Seguridad de la Información y Gestión Documental y Archivo</v>
      </c>
      <c r="G93" s="98">
        <f>+'Plan de Adquisiciones '!G153</f>
        <v>180</v>
      </c>
      <c r="H93" s="98">
        <f>+'Plan de Adquisiciones '!H153</f>
        <v>0</v>
      </c>
      <c r="I93" s="98" t="str">
        <f>+'Plan de Adquisiciones '!I153</f>
        <v>Prestación de servicios profesionales para apoyar la implementación, monitoreo, soporte y sostenibilidad de los Subsistemas de Gestión de Calidad, Control Interno y Responsabilidad Social; así como para la implementación, monitoreo, soporte y sostenibilidad del Sistema Integrado de Gestión SIG del IDEP.</v>
      </c>
      <c r="J93" s="98">
        <f>+'Plan de Adquisiciones '!J153</f>
        <v>80111600</v>
      </c>
      <c r="K93" s="98" t="str">
        <f>+'Plan de Adquisiciones '!K153</f>
        <v>Jefe Oficina Asesora de Planeación</v>
      </c>
      <c r="L93" s="98" t="str">
        <f>+'Plan de Adquisiciones '!L153</f>
        <v>Jefe Oficina Asesora de Planeación</v>
      </c>
      <c r="M93" s="98" t="str">
        <f>+'Plan de Adquisiciones '!N153</f>
        <v>Marzo</v>
      </c>
      <c r="N93" s="98">
        <f>+'Plan de Adquisiciones '!O153</f>
        <v>10</v>
      </c>
      <c r="O93" s="98" t="str">
        <f>+'Plan de Adquisiciones '!P153</f>
        <v xml:space="preserve"> Contratación Directa</v>
      </c>
      <c r="P93" s="98" t="str">
        <f>+'Plan de Adquisiciones '!Q153</f>
        <v>Directa</v>
      </c>
      <c r="Q93" s="107">
        <f>+'Plan de Adquisiciones '!R153</f>
        <v>44250000</v>
      </c>
      <c r="R93" s="107">
        <f>+'Plan de Adquisiciones '!S153</f>
        <v>0</v>
      </c>
      <c r="S93" s="107">
        <f>+'Plan de Adquisiciones '!T153</f>
        <v>44250000</v>
      </c>
      <c r="T93" s="98">
        <f>+'Plan de Adquisiciones '!U153</f>
        <v>1</v>
      </c>
      <c r="U93" s="107">
        <f>+'Plan de Adquisiciones '!V153</f>
        <v>44250000</v>
      </c>
      <c r="V93" s="107">
        <f>+'Plan de Adquisiciones '!W153</f>
        <v>0</v>
      </c>
      <c r="W93" s="107">
        <f>+'Plan de Adquisiciones '!X153</f>
        <v>44250000</v>
      </c>
      <c r="X93" s="106">
        <f>+'Plan de Adquisiciones '!Y153</f>
        <v>42802</v>
      </c>
      <c r="Y93" s="98">
        <f>+'Plan de Adquisiciones '!Z153</f>
        <v>29</v>
      </c>
      <c r="Z93" s="108" t="str">
        <f>+'Plan de Adquisiciones '!AA153</f>
        <v>NELSON RODRIGUEZ BUITRAGO</v>
      </c>
    </row>
    <row r="94" spans="1:26" ht="90" x14ac:dyDescent="0.25">
      <c r="A94" s="75" t="s">
        <v>171</v>
      </c>
      <c r="B94" s="75" t="s">
        <v>149</v>
      </c>
      <c r="C94" s="75" t="s">
        <v>233</v>
      </c>
      <c r="D94" s="78" t="s">
        <v>153</v>
      </c>
      <c r="E94" s="79" t="s">
        <v>20</v>
      </c>
      <c r="F94" s="98">
        <f>+'Plan de Adquisiciones '!F154</f>
        <v>0</v>
      </c>
      <c r="G94" s="98">
        <f>+'Plan de Adquisiciones '!G154</f>
        <v>181</v>
      </c>
      <c r="H94" s="98">
        <f>+'Plan de Adquisiciones '!H154</f>
        <v>0</v>
      </c>
      <c r="I94" s="98" t="str">
        <f>+'Plan de Adquisiciones '!I154</f>
        <v>Prestación de servicios profesionales para apoyar los procesos de planeación, control a la ejecución, seguimiento a la inversión y verificación de cumplimiento a las metas, proyectos, planes, programas e indicadores del IDEP.</v>
      </c>
      <c r="J94" s="98">
        <f>+'Plan de Adquisiciones '!J154</f>
        <v>80111600</v>
      </c>
      <c r="K94" s="98" t="str">
        <f>+'Plan de Adquisiciones '!K154</f>
        <v>Jefe Oficina Asesora de Planeación</v>
      </c>
      <c r="L94" s="98" t="str">
        <f>+'Plan de Adquisiciones '!L154</f>
        <v>Jefe Oficina Asesora de Planeación</v>
      </c>
      <c r="M94" s="98" t="str">
        <f>+'Plan de Adquisiciones '!N154</f>
        <v>Marzo</v>
      </c>
      <c r="N94" s="98">
        <f>+'Plan de Adquisiciones '!O154</f>
        <v>10</v>
      </c>
      <c r="O94" s="98" t="str">
        <f>+'Plan de Adquisiciones '!P154</f>
        <v xml:space="preserve"> Contratación Directa</v>
      </c>
      <c r="P94" s="98" t="str">
        <f>+'Plan de Adquisiciones '!Q154</f>
        <v>Directa</v>
      </c>
      <c r="Q94" s="107">
        <f>+'Plan de Adquisiciones '!R154</f>
        <v>43200000</v>
      </c>
      <c r="R94" s="107">
        <f>+'Plan de Adquisiciones '!S154</f>
        <v>0</v>
      </c>
      <c r="S94" s="107">
        <f>+'Plan de Adquisiciones '!T154</f>
        <v>43200000</v>
      </c>
      <c r="T94" s="98">
        <f>+'Plan de Adquisiciones '!U154</f>
        <v>1</v>
      </c>
      <c r="U94" s="107">
        <f>+'Plan de Adquisiciones '!V154</f>
        <v>43200000</v>
      </c>
      <c r="V94" s="107">
        <f>+'Plan de Adquisiciones '!W154</f>
        <v>0</v>
      </c>
      <c r="W94" s="107">
        <f>+'Plan de Adquisiciones '!X154</f>
        <v>43200000</v>
      </c>
      <c r="X94" s="106">
        <f>+'Plan de Adquisiciones '!Y154</f>
        <v>42808</v>
      </c>
      <c r="Y94" s="98">
        <f>+'Plan de Adquisiciones '!Z154</f>
        <v>36</v>
      </c>
      <c r="Z94" s="108" t="str">
        <f>+'Plan de Adquisiciones '!AA154</f>
        <v>CAROLINA ORTIZ TOVAR</v>
      </c>
    </row>
    <row r="95" spans="1:26" ht="40.5" customHeight="1" x14ac:dyDescent="0.25">
      <c r="A95" s="75" t="s">
        <v>171</v>
      </c>
      <c r="B95" s="75" t="s">
        <v>149</v>
      </c>
      <c r="C95" s="75" t="s">
        <v>233</v>
      </c>
      <c r="D95" s="78" t="s">
        <v>153</v>
      </c>
      <c r="E95" s="79" t="s">
        <v>20</v>
      </c>
      <c r="F95" s="98" t="e">
        <f>+'Plan de Adquisiciones '!#REF!</f>
        <v>#REF!</v>
      </c>
      <c r="G95" s="98" t="e">
        <f>+'Plan de Adquisiciones '!#REF!</f>
        <v>#REF!</v>
      </c>
      <c r="H95" s="98" t="e">
        <f>+'Plan de Adquisiciones '!#REF!</f>
        <v>#REF!</v>
      </c>
      <c r="I95" s="98" t="e">
        <f>+'Plan de Adquisiciones '!#REF!</f>
        <v>#REF!</v>
      </c>
      <c r="J95" s="98" t="e">
        <f>+'Plan de Adquisiciones '!#REF!</f>
        <v>#REF!</v>
      </c>
      <c r="K95" s="98" t="e">
        <f>+'Plan de Adquisiciones '!#REF!</f>
        <v>#REF!</v>
      </c>
      <c r="L95" s="98" t="e">
        <f>+'Plan de Adquisiciones '!#REF!</f>
        <v>#REF!</v>
      </c>
      <c r="M95" s="98" t="e">
        <f>+'Plan de Adquisiciones '!#REF!</f>
        <v>#REF!</v>
      </c>
      <c r="N95" s="98" t="e">
        <f>+'Plan de Adquisiciones '!#REF!</f>
        <v>#REF!</v>
      </c>
      <c r="O95" s="98" t="e">
        <f>+'Plan de Adquisiciones '!#REF!</f>
        <v>#REF!</v>
      </c>
      <c r="P95" s="98" t="e">
        <f>+'Plan de Adquisiciones '!#REF!</f>
        <v>#REF!</v>
      </c>
      <c r="Q95" s="107" t="e">
        <f>+'Plan de Adquisiciones '!#REF!</f>
        <v>#REF!</v>
      </c>
      <c r="R95" s="107" t="e">
        <f>+'Plan de Adquisiciones '!#REF!</f>
        <v>#REF!</v>
      </c>
      <c r="S95" s="107" t="e">
        <f>+'Plan de Adquisiciones '!#REF!</f>
        <v>#REF!</v>
      </c>
      <c r="T95" s="98" t="e">
        <f>+'Plan de Adquisiciones '!#REF!</f>
        <v>#REF!</v>
      </c>
      <c r="U95" s="107" t="e">
        <f>+'Plan de Adquisiciones '!#REF!</f>
        <v>#REF!</v>
      </c>
      <c r="V95" s="107" t="e">
        <f>+'Plan de Adquisiciones '!#REF!</f>
        <v>#REF!</v>
      </c>
      <c r="W95" s="107" t="e">
        <f>+'Plan de Adquisiciones '!#REF!</f>
        <v>#REF!</v>
      </c>
      <c r="X95" s="106"/>
      <c r="Y95" s="98" t="e">
        <f>+'Plan de Adquisiciones '!#REF!</f>
        <v>#REF!</v>
      </c>
      <c r="Z95" s="108" t="e">
        <f>+'Plan de Adquisiciones '!#REF!</f>
        <v>#REF!</v>
      </c>
    </row>
    <row r="96" spans="1:26" ht="123.75" x14ac:dyDescent="0.25">
      <c r="A96" s="75" t="s">
        <v>171</v>
      </c>
      <c r="B96" s="75" t="s">
        <v>149</v>
      </c>
      <c r="C96" s="75" t="s">
        <v>233</v>
      </c>
      <c r="D96" s="78" t="s">
        <v>153</v>
      </c>
      <c r="E96" s="79" t="s">
        <v>20</v>
      </c>
      <c r="F96" s="98">
        <f>+'Plan de Adquisiciones '!F155</f>
        <v>0</v>
      </c>
      <c r="G96" s="98">
        <f>+'Plan de Adquisiciones '!G155</f>
        <v>186</v>
      </c>
      <c r="H96" s="98">
        <f>+'Plan de Adquisiciones '!H155</f>
        <v>0</v>
      </c>
      <c r="I96" s="98" t="str">
        <f>+'Plan de Adquisiciones '!I155</f>
        <v>Prestación de servicios profesionales para apoyar el seguimiento a los planes, proyectos, metas, indicadores del IDEP, así como para el cumplimiento de los procedimientos establecidos en el proceso de Dirección y Planeación que hace parte del Sistema Integrado de Gestión SIG.</v>
      </c>
      <c r="J96" s="98">
        <f>+'Plan de Adquisiciones '!J155</f>
        <v>80111600</v>
      </c>
      <c r="K96" s="98" t="str">
        <f>+'Plan de Adquisiciones '!K155</f>
        <v>Jefe Oficina Asesora de Planeación</v>
      </c>
      <c r="L96" s="98" t="str">
        <f>+'Plan de Adquisiciones '!L155</f>
        <v>Jefe Oficina Asesora de Planeación</v>
      </c>
      <c r="M96" s="98" t="str">
        <f>+'Plan de Adquisiciones '!N155</f>
        <v>Marzo</v>
      </c>
      <c r="N96" s="98">
        <f>+'Plan de Adquisiciones '!O155</f>
        <v>10</v>
      </c>
      <c r="O96" s="98" t="str">
        <f>+'Plan de Adquisiciones '!P155</f>
        <v xml:space="preserve"> Contratación Directa</v>
      </c>
      <c r="P96" s="98" t="str">
        <f>+'Plan de Adquisiciones '!Q155</f>
        <v>Directa</v>
      </c>
      <c r="Q96" s="107">
        <f>+'Plan de Adquisiciones '!R155</f>
        <v>37601667</v>
      </c>
      <c r="R96" s="107">
        <f>+'Plan de Adquisiciones '!S155</f>
        <v>0</v>
      </c>
      <c r="S96" s="107">
        <f>+'Plan de Adquisiciones '!T155</f>
        <v>37601667</v>
      </c>
      <c r="T96" s="98">
        <f>+'Plan de Adquisiciones '!U155</f>
        <v>1</v>
      </c>
      <c r="U96" s="107">
        <f>+'Plan de Adquisiciones '!V155</f>
        <v>37601667</v>
      </c>
      <c r="V96" s="107">
        <f>+'Plan de Adquisiciones '!W155</f>
        <v>0</v>
      </c>
      <c r="W96" s="107">
        <f>+'Plan de Adquisiciones '!X155</f>
        <v>37601667</v>
      </c>
      <c r="X96" s="106">
        <f>+'Plan de Adquisiciones '!Y155</f>
        <v>42803</v>
      </c>
      <c r="Y96" s="98">
        <f>+'Plan de Adquisiciones '!Z155</f>
        <v>31</v>
      </c>
      <c r="Z96" s="108" t="str">
        <f>+'Plan de Adquisiciones '!AA155</f>
        <v>VIVIANA MONROY PRECIADO</v>
      </c>
    </row>
    <row r="97" spans="1:26" ht="78.75" x14ac:dyDescent="0.25">
      <c r="A97" s="75" t="s">
        <v>171</v>
      </c>
      <c r="B97" s="75" t="s">
        <v>149</v>
      </c>
      <c r="C97" s="75" t="s">
        <v>233</v>
      </c>
      <c r="D97" s="78" t="s">
        <v>153</v>
      </c>
      <c r="E97" s="79" t="s">
        <v>20</v>
      </c>
      <c r="F97" s="98">
        <f>+'Plan de Adquisiciones '!F156</f>
        <v>0</v>
      </c>
      <c r="G97" s="98">
        <f>+'Plan de Adquisiciones '!G156</f>
        <v>108</v>
      </c>
      <c r="H97" s="98">
        <f>+'Plan de Adquisiciones '!H156</f>
        <v>0</v>
      </c>
      <c r="I97" s="98" t="str">
        <f>+'Plan de Adquisiciones '!I156</f>
        <v>Prestación de servicios profesionales como abogado, para realizar la representacion judicial y extrajudicial de la entidad, y el apoyo jurÍdico en los diferentes procesos de la gestión jurídica y contractual.</v>
      </c>
      <c r="J97" s="98">
        <f>+'Plan de Adquisiciones '!J156</f>
        <v>80111600</v>
      </c>
      <c r="K97" s="98" t="str">
        <f>+'Plan de Adquisiciones '!K156</f>
        <v xml:space="preserve"> Asesor Oficina Juridica</v>
      </c>
      <c r="L97" s="98" t="str">
        <f>+'Plan de Adquisiciones '!L156</f>
        <v>Oficina Asesora Jurídica</v>
      </c>
      <c r="M97" s="98" t="str">
        <f>+'Plan de Adquisiciones '!N156</f>
        <v>Marzo</v>
      </c>
      <c r="N97" s="98">
        <f>+'Plan de Adquisiciones '!O156</f>
        <v>10</v>
      </c>
      <c r="O97" s="98" t="str">
        <f>+'Plan de Adquisiciones '!P156</f>
        <v xml:space="preserve"> Contratación Directa</v>
      </c>
      <c r="P97" s="98" t="str">
        <f>+'Plan de Adquisiciones '!Q156</f>
        <v>Directa</v>
      </c>
      <c r="Q97" s="107">
        <f>+'Plan de Adquisiciones '!R156</f>
        <v>70324410</v>
      </c>
      <c r="R97" s="107">
        <f>+'Plan de Adquisiciones '!S156</f>
        <v>0</v>
      </c>
      <c r="S97" s="107">
        <f>+'Plan de Adquisiciones '!T156</f>
        <v>70324410</v>
      </c>
      <c r="T97" s="98">
        <f>+'Plan de Adquisiciones '!U156</f>
        <v>1</v>
      </c>
      <c r="U97" s="107">
        <f>+'Plan de Adquisiciones '!V156</f>
        <v>70324410</v>
      </c>
      <c r="V97" s="107">
        <f>+'Plan de Adquisiciones '!W156</f>
        <v>0</v>
      </c>
      <c r="W97" s="107">
        <f>+'Plan de Adquisiciones '!X156</f>
        <v>70324410</v>
      </c>
      <c r="X97" s="106">
        <f>+'Plan de Adquisiciones '!Y156</f>
        <v>42793</v>
      </c>
      <c r="Y97" s="98">
        <f>+'Plan de Adquisiciones '!Z156</f>
        <v>7</v>
      </c>
      <c r="Z97" s="108" t="str">
        <f>+'Plan de Adquisiciones '!AA156</f>
        <v>EDISON BARRERO TORRES</v>
      </c>
    </row>
    <row r="98" spans="1:26" ht="56.25" x14ac:dyDescent="0.25">
      <c r="A98" s="75" t="s">
        <v>171</v>
      </c>
      <c r="B98" s="75" t="s">
        <v>149</v>
      </c>
      <c r="C98" s="75" t="s">
        <v>233</v>
      </c>
      <c r="D98" s="78" t="s">
        <v>153</v>
      </c>
      <c r="E98" s="79" t="s">
        <v>20</v>
      </c>
      <c r="F98" s="98">
        <f>+'Plan de Adquisiciones '!F157</f>
        <v>0</v>
      </c>
      <c r="G98" s="98">
        <f>+'Plan de Adquisiciones '!G157</f>
        <v>109</v>
      </c>
      <c r="H98" s="98">
        <f>+'Plan de Adquisiciones '!H157</f>
        <v>0</v>
      </c>
      <c r="I98" s="98" t="str">
        <f>+'Plan de Adquisiciones '!I157</f>
        <v>Prestación de servicios profesionales como abogado para apoyar jurÍdicamente en los diferentes procesos de la gestión jurídica y contractual.</v>
      </c>
      <c r="J98" s="98">
        <f>+'Plan de Adquisiciones '!J157</f>
        <v>80111600</v>
      </c>
      <c r="K98" s="98" t="str">
        <f>+'Plan de Adquisiciones '!K157</f>
        <v xml:space="preserve"> Asesor Oficina Juridica</v>
      </c>
      <c r="L98" s="98" t="str">
        <f>+'Plan de Adquisiciones '!L157</f>
        <v>Oficina Asesora Jurídica</v>
      </c>
      <c r="M98" s="98" t="str">
        <f>+'Plan de Adquisiciones '!N157</f>
        <v>Febrero</v>
      </c>
      <c r="N98" s="98">
        <f>+'Plan de Adquisiciones '!O157</f>
        <v>10</v>
      </c>
      <c r="O98" s="98" t="str">
        <f>+'Plan de Adquisiciones '!P157</f>
        <v xml:space="preserve"> Contratación Directa</v>
      </c>
      <c r="P98" s="98" t="str">
        <f>+'Plan de Adquisiciones '!Q157</f>
        <v>Directa</v>
      </c>
      <c r="Q98" s="107">
        <f>+'Plan de Adquisiciones '!R157</f>
        <v>31500000</v>
      </c>
      <c r="R98" s="107">
        <f>+'Plan de Adquisiciones '!S157</f>
        <v>0</v>
      </c>
      <c r="S98" s="107">
        <f>+'Plan de Adquisiciones '!T157</f>
        <v>31500000</v>
      </c>
      <c r="T98" s="98">
        <f>+'Plan de Adquisiciones '!U157</f>
        <v>1</v>
      </c>
      <c r="U98" s="107">
        <f>+'Plan de Adquisiciones '!V157</f>
        <v>31500000</v>
      </c>
      <c r="V98" s="107">
        <f>+'Plan de Adquisiciones '!W157</f>
        <v>0</v>
      </c>
      <c r="W98" s="107">
        <f>+'Plan de Adquisiciones '!X157</f>
        <v>31500000</v>
      </c>
      <c r="X98" s="106">
        <f>+'Plan de Adquisiciones '!Y157</f>
        <v>42782</v>
      </c>
      <c r="Y98" s="98">
        <f>+'Plan de Adquisiciones '!Z157</f>
        <v>6</v>
      </c>
      <c r="Z98" s="108" t="str">
        <f>+'Plan de Adquisiciones '!AA157</f>
        <v>STEFANIA ORTEGA LUGO</v>
      </c>
    </row>
    <row r="99" spans="1:26" ht="45" x14ac:dyDescent="0.25">
      <c r="A99" s="75" t="s">
        <v>171</v>
      </c>
      <c r="B99" s="75" t="s">
        <v>149</v>
      </c>
      <c r="C99" s="75" t="s">
        <v>233</v>
      </c>
      <c r="D99" s="78" t="s">
        <v>153</v>
      </c>
      <c r="E99" s="79" t="s">
        <v>20</v>
      </c>
      <c r="F99" s="98" t="e">
        <f>+'Plan de Adquisiciones '!#REF!</f>
        <v>#REF!</v>
      </c>
      <c r="G99" s="98" t="e">
        <f>+'Plan de Adquisiciones '!#REF!</f>
        <v>#REF!</v>
      </c>
      <c r="H99" s="98" t="e">
        <f>+'Plan de Adquisiciones '!#REF!</f>
        <v>#REF!</v>
      </c>
      <c r="I99" s="98" t="e">
        <f>+'Plan de Adquisiciones '!#REF!</f>
        <v>#REF!</v>
      </c>
      <c r="J99" s="98" t="e">
        <f>+'Plan de Adquisiciones '!#REF!</f>
        <v>#REF!</v>
      </c>
      <c r="K99" s="98" t="e">
        <f>+'Plan de Adquisiciones '!#REF!</f>
        <v>#REF!</v>
      </c>
      <c r="L99" s="98" t="e">
        <f>+'Plan de Adquisiciones '!#REF!</f>
        <v>#REF!</v>
      </c>
      <c r="M99" s="98" t="e">
        <f>+'Plan de Adquisiciones '!#REF!</f>
        <v>#REF!</v>
      </c>
      <c r="N99" s="98" t="e">
        <f>+'Plan de Adquisiciones '!#REF!</f>
        <v>#REF!</v>
      </c>
      <c r="O99" s="98" t="e">
        <f>+'Plan de Adquisiciones '!#REF!</f>
        <v>#REF!</v>
      </c>
      <c r="P99" s="98" t="e">
        <f>+'Plan de Adquisiciones '!#REF!</f>
        <v>#REF!</v>
      </c>
      <c r="Q99" s="107" t="e">
        <f>+'Plan de Adquisiciones '!#REF!</f>
        <v>#REF!</v>
      </c>
      <c r="R99" s="107" t="e">
        <f>+'Plan de Adquisiciones '!#REF!</f>
        <v>#REF!</v>
      </c>
      <c r="S99" s="107" t="e">
        <f>+'Plan de Adquisiciones '!#REF!</f>
        <v>#REF!</v>
      </c>
      <c r="T99" s="98" t="e">
        <f>+'Plan de Adquisiciones '!#REF!</f>
        <v>#REF!</v>
      </c>
      <c r="U99" s="107" t="e">
        <f>+'Plan de Adquisiciones '!#REF!</f>
        <v>#REF!</v>
      </c>
      <c r="V99" s="107" t="e">
        <f>+'Plan de Adquisiciones '!#REF!</f>
        <v>#REF!</v>
      </c>
      <c r="W99" s="107" t="e">
        <f>+'Plan de Adquisiciones '!#REF!</f>
        <v>#REF!</v>
      </c>
      <c r="X99" s="106"/>
      <c r="Y99" s="98" t="e">
        <f>+'Plan de Adquisiciones '!#REF!</f>
        <v>#REF!</v>
      </c>
      <c r="Z99" s="108" t="e">
        <f>+'Plan de Adquisiciones '!#REF!</f>
        <v>#REF!</v>
      </c>
    </row>
    <row r="100" spans="1:26" ht="45" x14ac:dyDescent="0.25">
      <c r="A100" s="75" t="s">
        <v>318</v>
      </c>
      <c r="B100" s="75" t="s">
        <v>149</v>
      </c>
      <c r="C100" s="75" t="s">
        <v>233</v>
      </c>
      <c r="D100" s="78" t="s">
        <v>153</v>
      </c>
      <c r="E100" s="79" t="s">
        <v>20</v>
      </c>
      <c r="F100" s="98" t="e">
        <f>+'Plan de Adquisiciones '!#REF!</f>
        <v>#REF!</v>
      </c>
      <c r="G100" s="98" t="e">
        <f>+'Plan de Adquisiciones '!#REF!</f>
        <v>#REF!</v>
      </c>
      <c r="H100" s="98" t="e">
        <f>+'Plan de Adquisiciones '!#REF!</f>
        <v>#REF!</v>
      </c>
      <c r="I100" s="98" t="e">
        <f>+'Plan de Adquisiciones '!#REF!</f>
        <v>#REF!</v>
      </c>
      <c r="J100" s="98" t="e">
        <f>+'Plan de Adquisiciones '!#REF!</f>
        <v>#REF!</v>
      </c>
      <c r="K100" s="98" t="e">
        <f>+'Plan de Adquisiciones '!#REF!</f>
        <v>#REF!</v>
      </c>
      <c r="L100" s="98" t="e">
        <f>+'Plan de Adquisiciones '!#REF!</f>
        <v>#REF!</v>
      </c>
      <c r="M100" s="97" t="str">
        <f>+'Plan de Adquisiciones '!N120</f>
        <v>Mayo</v>
      </c>
      <c r="N100" s="98" t="e">
        <f>+'Plan de Adquisiciones '!#REF!</f>
        <v>#REF!</v>
      </c>
      <c r="O100" s="98" t="e">
        <f>+'Plan de Adquisiciones '!#REF!</f>
        <v>#REF!</v>
      </c>
      <c r="P100" s="98" t="e">
        <f>+'Plan de Adquisiciones '!#REF!</f>
        <v>#REF!</v>
      </c>
      <c r="Q100" s="107" t="e">
        <f>+'Plan de Adquisiciones '!#REF!</f>
        <v>#REF!</v>
      </c>
      <c r="R100" s="107" t="e">
        <f>+'Plan de Adquisiciones '!#REF!</f>
        <v>#REF!</v>
      </c>
      <c r="S100" s="107" t="e">
        <f>+'Plan de Adquisiciones '!#REF!</f>
        <v>#REF!</v>
      </c>
      <c r="T100" s="98" t="e">
        <f>+'Plan de Adquisiciones '!#REF!</f>
        <v>#REF!</v>
      </c>
      <c r="U100" s="107" t="e">
        <f>+'Plan de Adquisiciones '!#REF!</f>
        <v>#REF!</v>
      </c>
      <c r="V100" s="107" t="e">
        <f>+'Plan de Adquisiciones '!#REF!</f>
        <v>#REF!</v>
      </c>
      <c r="W100" s="107" t="e">
        <f>+'Plan de Adquisiciones '!#REF!</f>
        <v>#REF!</v>
      </c>
      <c r="X100" s="106"/>
      <c r="Y100" s="98" t="e">
        <f>+'Plan de Adquisiciones '!#REF!</f>
        <v>#REF!</v>
      </c>
      <c r="Z100" s="108" t="e">
        <f>+'Plan de Adquisiciones '!#REF!</f>
        <v>#REF!</v>
      </c>
    </row>
    <row r="101" spans="1:26" ht="168.75" x14ac:dyDescent="0.25">
      <c r="A101" s="75" t="s">
        <v>171</v>
      </c>
      <c r="B101" s="75" t="s">
        <v>149</v>
      </c>
      <c r="C101" s="75" t="s">
        <v>233</v>
      </c>
      <c r="D101" s="78" t="s">
        <v>153</v>
      </c>
      <c r="E101" s="79" t="s">
        <v>20</v>
      </c>
      <c r="F101" s="98">
        <f>+'Plan de Adquisiciones '!F158</f>
        <v>0</v>
      </c>
      <c r="G101" s="98">
        <f>+'Plan de Adquisiciones '!G158</f>
        <v>189</v>
      </c>
      <c r="H101" s="98">
        <f>+'Plan de Adquisiciones '!H158</f>
        <v>0</v>
      </c>
      <c r="I101" s="98" t="str">
        <f>+'Plan de Adquisiciones '!I158</f>
        <v>Prestación de servicios profesionales para apoyar el levantamiento y documentación de procesos, procedimientos, manuales, instructivos, formatos, riesgos, indicadores y demás documentos e instrumentos requeridos para los procesos de la Entidad, como parte de las estrategias de implementación, monitoreo, soporte y sostenibilidad del Sistema Integrado de Gestión SIG del IDEP en el marco de la norma NTD-SIG 001:2011.</v>
      </c>
      <c r="J101" s="98">
        <f>+'Plan de Adquisiciones '!J158</f>
        <v>80111601</v>
      </c>
      <c r="K101" s="98" t="str">
        <f>+'Plan de Adquisiciones '!K158</f>
        <v>Jefe Oficina Asesora de Planeación</v>
      </c>
      <c r="L101" s="98" t="str">
        <f>+'Plan de Adquisiciones '!L158</f>
        <v>Jefe Oficina Asesora de Planeación</v>
      </c>
      <c r="M101" s="98" t="str">
        <f>+'Plan de Adquisiciones '!N158</f>
        <v>Marzo</v>
      </c>
      <c r="N101" s="98">
        <f>+'Plan de Adquisiciones '!O158</f>
        <v>2</v>
      </c>
      <c r="O101" s="98" t="str">
        <f>+'Plan de Adquisiciones '!P158</f>
        <v xml:space="preserve"> Contratación Directa</v>
      </c>
      <c r="P101" s="98" t="str">
        <f>+'Plan de Adquisiciones '!Q158</f>
        <v>Directa</v>
      </c>
      <c r="Q101" s="107">
        <f>+'Plan de Adquisiciones '!R158</f>
        <v>6000000</v>
      </c>
      <c r="R101" s="107">
        <f>+'Plan de Adquisiciones '!S158</f>
        <v>0</v>
      </c>
      <c r="S101" s="107">
        <f>+'Plan de Adquisiciones '!T158</f>
        <v>6000000</v>
      </c>
      <c r="T101" s="98">
        <f>+'Plan de Adquisiciones '!U158</f>
        <v>1</v>
      </c>
      <c r="U101" s="107">
        <f>+'Plan de Adquisiciones '!V158</f>
        <v>6000000</v>
      </c>
      <c r="V101" s="107">
        <f>+'Plan de Adquisiciones '!W158</f>
        <v>0</v>
      </c>
      <c r="W101" s="107">
        <f>+'Plan de Adquisiciones '!X158</f>
        <v>6000000</v>
      </c>
      <c r="X101" s="106">
        <f>+'Plan de Adquisiciones '!Y158</f>
        <v>42822</v>
      </c>
      <c r="Y101" s="98">
        <f>+'Plan de Adquisiciones '!Z158</f>
        <v>41</v>
      </c>
      <c r="Z101" s="108" t="str">
        <f>+'Plan de Adquisiciones '!AA158</f>
        <v>EMILIANO BRICEÑO CARDENAS</v>
      </c>
    </row>
    <row r="102" spans="1:26" ht="135" x14ac:dyDescent="0.25">
      <c r="A102" s="75" t="s">
        <v>171</v>
      </c>
      <c r="B102" s="75" t="s">
        <v>149</v>
      </c>
      <c r="C102" s="75" t="s">
        <v>233</v>
      </c>
      <c r="D102" s="78" t="s">
        <v>153</v>
      </c>
      <c r="E102" s="79" t="s">
        <v>20</v>
      </c>
      <c r="F102" s="98">
        <f>+'Plan de Adquisiciones '!F159</f>
        <v>0</v>
      </c>
      <c r="G102" s="98">
        <f>+'Plan de Adquisiciones '!G159</f>
        <v>273</v>
      </c>
      <c r="H102" s="98">
        <f>+'Plan de Adquisiciones '!H159</f>
        <v>0</v>
      </c>
      <c r="I102" s="98" t="str">
        <f>+'Plan de Adquisiciones '!I159</f>
        <v>Prestación de servicios para el Suministro, instalación, configuración, licenciamiento, soporte técnico y puesta en marcha de una solución tecnológica Hiperconvergente</v>
      </c>
      <c r="J102" s="98" t="str">
        <f>+'Plan de Adquisiciones '!J159</f>
        <v>43201834
 43201835
43211501
 43211502
 43222501
 43222502
 43233203
 43233204
81112210
81112301
 81112305
81112501</v>
      </c>
      <c r="K102" s="98" t="str">
        <f>+'Plan de Adquisiciones '!K159</f>
        <v>Jefe Oficina Asesora de Planeación</v>
      </c>
      <c r="L102" s="98" t="str">
        <f>+'Plan de Adquisiciones '!L159</f>
        <v>Jefe Oficina Asesora de Planeación</v>
      </c>
      <c r="M102" s="98" t="str">
        <f>+'Plan de Adquisiciones '!N159</f>
        <v>Agosto</v>
      </c>
      <c r="N102" s="98">
        <f>+'Plan de Adquisiciones '!O159</f>
        <v>2</v>
      </c>
      <c r="O102" s="98" t="str">
        <f>+'Plan de Adquisiciones '!P159</f>
        <v>Licitación Pública</v>
      </c>
      <c r="P102" s="98" t="str">
        <f>+'Plan de Adquisiciones '!Q159</f>
        <v>Licitación Pública</v>
      </c>
      <c r="Q102" s="107">
        <f>+'Plan de Adquisiciones '!R159</f>
        <v>262321237</v>
      </c>
      <c r="R102" s="107">
        <f>+'Plan de Adquisiciones '!S159</f>
        <v>10224463</v>
      </c>
      <c r="S102" s="107">
        <f>+'Plan de Adquisiciones '!T159</f>
        <v>272545700</v>
      </c>
      <c r="T102" s="98">
        <f>+'Plan de Adquisiciones '!U159</f>
        <v>0</v>
      </c>
      <c r="U102" s="107">
        <f>+'Plan de Adquisiciones '!V159</f>
        <v>262321237</v>
      </c>
      <c r="V102" s="107">
        <f>+'Plan de Adquisiciones '!W159</f>
        <v>10224463</v>
      </c>
      <c r="W102" s="107">
        <f>+'Plan de Adquisiciones '!X159</f>
        <v>272545700</v>
      </c>
      <c r="X102" s="106"/>
      <c r="Y102" s="98">
        <f>+'Plan de Adquisiciones '!Z159</f>
        <v>110</v>
      </c>
      <c r="Z102" s="108" t="str">
        <f>+'Plan de Adquisiciones '!AA159</f>
        <v xml:space="preserve">SUMMIMAS S.A.S </v>
      </c>
    </row>
    <row r="103" spans="1:26" ht="51.75" customHeight="1" x14ac:dyDescent="0.25">
      <c r="A103" s="75"/>
      <c r="B103" s="75"/>
      <c r="C103" s="75"/>
      <c r="D103" s="78"/>
      <c r="E103" s="79"/>
      <c r="F103" s="98">
        <f>+'Plan de Adquisiciones '!F161</f>
        <v>0</v>
      </c>
      <c r="G103" s="98">
        <f>+'Plan de Adquisiciones '!G161</f>
        <v>113</v>
      </c>
      <c r="H103" s="98">
        <f>+'Plan de Adquisiciones '!H161</f>
        <v>0</v>
      </c>
      <c r="I103" s="98" t="str">
        <f>+'Plan de Adquisiciones '!I161</f>
        <v>Prestación de servicios profesionales para desarrollar acciones de  sostenibilidad, evaluación y seguimiento  del Sistema de Control Interno,  con el fin de promover  la eficacia y eficiencia de los  procesos del IDEP.</v>
      </c>
      <c r="J103" s="98">
        <f>+'Plan de Adquisiciones '!J161</f>
        <v>80111600</v>
      </c>
      <c r="K103" s="98" t="str">
        <f>+'Plan de Adquisiciones '!K161</f>
        <v>Jefe Oficina Asesora de Planeación</v>
      </c>
      <c r="L103" s="98" t="str">
        <f>+'Plan de Adquisiciones '!L161</f>
        <v>Jefe Oficina Asesora de Planeación</v>
      </c>
      <c r="M103" s="98" t="str">
        <f>+'Plan de Adquisiciones '!N161</f>
        <v>Marzo</v>
      </c>
      <c r="N103" s="98">
        <f>+'Plan de Adquisiciones '!O161</f>
        <v>10</v>
      </c>
      <c r="O103" s="98" t="str">
        <f>+'Plan de Adquisiciones '!P161</f>
        <v xml:space="preserve"> Contratación Directa</v>
      </c>
      <c r="P103" s="98" t="str">
        <f>+'Plan de Adquisiciones '!Q161</f>
        <v>Directa</v>
      </c>
      <c r="Q103" s="107">
        <f>+'Plan de Adquisiciones '!R161</f>
        <v>33566280</v>
      </c>
      <c r="R103" s="107">
        <f>+'Plan de Adquisiciones '!S161</f>
        <v>0</v>
      </c>
      <c r="S103" s="107">
        <f>+'Plan de Adquisiciones '!T161</f>
        <v>33566280</v>
      </c>
      <c r="T103" s="98">
        <f>+'Plan de Adquisiciones '!U161</f>
        <v>1</v>
      </c>
      <c r="U103" s="107">
        <f>+'Plan de Adquisiciones '!V161</f>
        <v>33566280</v>
      </c>
      <c r="V103" s="107">
        <f>+'Plan de Adquisiciones '!W161</f>
        <v>0</v>
      </c>
      <c r="W103" s="107">
        <f>+'Plan de Adquisiciones '!X161</f>
        <v>33566280</v>
      </c>
      <c r="X103" s="106">
        <f>+'Plan de Adquisiciones '!Y161</f>
        <v>42800</v>
      </c>
      <c r="Y103" s="98">
        <f>+'Plan de Adquisiciones '!Z161</f>
        <v>26</v>
      </c>
      <c r="Z103" s="108" t="str">
        <f>+'Plan de Adquisiciones '!AA161</f>
        <v>NADIA PINEDA SARMIENTO</v>
      </c>
    </row>
    <row r="104" spans="1:26" ht="45" x14ac:dyDescent="0.25">
      <c r="A104" s="75" t="s">
        <v>171</v>
      </c>
      <c r="B104" s="75" t="s">
        <v>149</v>
      </c>
      <c r="C104" s="75" t="s">
        <v>233</v>
      </c>
      <c r="D104" s="78" t="s">
        <v>153</v>
      </c>
      <c r="E104" s="79" t="s">
        <v>20</v>
      </c>
      <c r="F104" s="98" t="e">
        <f>+'Plan de Adquisiciones '!#REF!</f>
        <v>#REF!</v>
      </c>
      <c r="G104" s="98" t="e">
        <f>+'Plan de Adquisiciones '!#REF!</f>
        <v>#REF!</v>
      </c>
      <c r="H104" s="98" t="e">
        <f>+'Plan de Adquisiciones '!#REF!</f>
        <v>#REF!</v>
      </c>
      <c r="I104" s="98" t="e">
        <f>+'Plan de Adquisiciones '!#REF!</f>
        <v>#REF!</v>
      </c>
      <c r="J104" s="98" t="e">
        <f>+'Plan de Adquisiciones '!#REF!</f>
        <v>#REF!</v>
      </c>
      <c r="K104" s="98" t="e">
        <f>+'Plan de Adquisiciones '!#REF!</f>
        <v>#REF!</v>
      </c>
      <c r="L104" s="98" t="e">
        <f>+'Plan de Adquisiciones '!#REF!</f>
        <v>#REF!</v>
      </c>
      <c r="M104" s="98" t="e">
        <f>+'Plan de Adquisiciones '!#REF!</f>
        <v>#REF!</v>
      </c>
      <c r="N104" s="98" t="e">
        <f>+'Plan de Adquisiciones '!#REF!</f>
        <v>#REF!</v>
      </c>
      <c r="O104" s="98" t="e">
        <f>+'Plan de Adquisiciones '!#REF!</f>
        <v>#REF!</v>
      </c>
      <c r="P104" s="98" t="e">
        <f>+'Plan de Adquisiciones '!#REF!</f>
        <v>#REF!</v>
      </c>
      <c r="Q104" s="107" t="e">
        <f>+'Plan de Adquisiciones '!#REF!</f>
        <v>#REF!</v>
      </c>
      <c r="R104" s="107" t="e">
        <f>+'Plan de Adquisiciones '!#REF!</f>
        <v>#REF!</v>
      </c>
      <c r="S104" s="107" t="e">
        <f>+'Plan de Adquisiciones '!#REF!</f>
        <v>#REF!</v>
      </c>
      <c r="T104" s="98" t="e">
        <f>+'Plan de Adquisiciones '!#REF!</f>
        <v>#REF!</v>
      </c>
      <c r="U104" s="107" t="e">
        <f>+'Plan de Adquisiciones '!#REF!</f>
        <v>#REF!</v>
      </c>
      <c r="V104" s="107" t="e">
        <f>+'Plan de Adquisiciones '!#REF!</f>
        <v>#REF!</v>
      </c>
      <c r="W104" s="107" t="e">
        <f>+'Plan de Adquisiciones '!#REF!</f>
        <v>#REF!</v>
      </c>
      <c r="X104" s="106"/>
      <c r="Y104" s="98" t="e">
        <f>+'Plan de Adquisiciones '!#REF!</f>
        <v>#REF!</v>
      </c>
      <c r="Z104" s="108" t="e">
        <f>+'Plan de Adquisiciones '!#REF!</f>
        <v>#REF!</v>
      </c>
    </row>
    <row r="105" spans="1:26" ht="56.25" x14ac:dyDescent="0.25">
      <c r="A105" s="75" t="s">
        <v>171</v>
      </c>
      <c r="B105" s="75" t="s">
        <v>149</v>
      </c>
      <c r="C105" s="75" t="s">
        <v>233</v>
      </c>
      <c r="D105" s="78" t="s">
        <v>153</v>
      </c>
      <c r="E105" s="79" t="s">
        <v>20</v>
      </c>
      <c r="F105" s="98">
        <f>+'Plan de Adquisiciones '!F162</f>
        <v>0</v>
      </c>
      <c r="G105" s="98">
        <f>+'Plan de Adquisiciones '!G162</f>
        <v>114</v>
      </c>
      <c r="H105" s="98">
        <f>+'Plan de Adquisiciones '!H162</f>
        <v>0</v>
      </c>
      <c r="I105" s="98" t="str">
        <f>+'Plan de Adquisiciones '!I162</f>
        <v>Prestación de servicios para apoyar en la organización del  archivo de la entidad como gestión dentro del subsistema de gestión documental</v>
      </c>
      <c r="J105" s="98">
        <f>+'Plan de Adquisiciones '!J162</f>
        <v>80111600</v>
      </c>
      <c r="K105" s="98" t="str">
        <f>+'Plan de Adquisiciones '!K162</f>
        <v>Subdirector Administrativo</v>
      </c>
      <c r="L105" s="98" t="str">
        <f>+'Plan de Adquisiciones '!L162</f>
        <v>Subdirector Administrativo</v>
      </c>
      <c r="M105" s="98" t="str">
        <f>+'Plan de Adquisiciones '!N162</f>
        <v>Marzo</v>
      </c>
      <c r="N105" s="98">
        <f>+'Plan de Adquisiciones '!O162</f>
        <v>9</v>
      </c>
      <c r="O105" s="98" t="str">
        <f>+'Plan de Adquisiciones '!P162</f>
        <v xml:space="preserve"> Contratación Directa</v>
      </c>
      <c r="P105" s="98" t="str">
        <f>+'Plan de Adquisiciones '!Q162</f>
        <v>Directa</v>
      </c>
      <c r="Q105" s="107">
        <f>+'Plan de Adquisiciones '!R162</f>
        <v>19800000</v>
      </c>
      <c r="R105" s="107">
        <f>+'Plan de Adquisiciones '!S162</f>
        <v>0</v>
      </c>
      <c r="S105" s="107">
        <f>+'Plan de Adquisiciones '!T162</f>
        <v>19800000</v>
      </c>
      <c r="T105" s="98">
        <f>+'Plan de Adquisiciones '!U162</f>
        <v>1</v>
      </c>
      <c r="U105" s="107">
        <f>+'Plan de Adquisiciones '!V162</f>
        <v>19800000</v>
      </c>
      <c r="V105" s="107">
        <f>+'Plan de Adquisiciones '!W162</f>
        <v>0</v>
      </c>
      <c r="W105" s="107">
        <f>+'Plan de Adquisiciones '!X162</f>
        <v>19800000</v>
      </c>
      <c r="X105" s="106">
        <f>+'Plan de Adquisiciones '!Y162</f>
        <v>42807</v>
      </c>
      <c r="Y105" s="98">
        <f>+'Plan de Adquisiciones '!Z162</f>
        <v>34</v>
      </c>
      <c r="Z105" s="108" t="str">
        <f>+'Plan de Adquisiciones '!AA162</f>
        <v>LAURA RAMIREZ GARCIA</v>
      </c>
    </row>
    <row r="106" spans="1:26" ht="123.75" x14ac:dyDescent="0.25">
      <c r="A106" s="75" t="s">
        <v>171</v>
      </c>
      <c r="B106" s="75" t="s">
        <v>149</v>
      </c>
      <c r="C106" s="75" t="s">
        <v>233</v>
      </c>
      <c r="D106" s="78" t="s">
        <v>153</v>
      </c>
      <c r="E106" s="79" t="s">
        <v>20</v>
      </c>
      <c r="F106" s="98">
        <f>+'Plan de Adquisiciones '!F163</f>
        <v>0</v>
      </c>
      <c r="G106" s="98">
        <f>+'Plan de Adquisiciones '!G163</f>
        <v>182</v>
      </c>
      <c r="H106" s="98">
        <f>+'Plan de Adquisiciones '!H163</f>
        <v>0</v>
      </c>
      <c r="I106" s="98" t="str">
        <f>+'Plan de Adquisiciones '!I163</f>
        <v>Prestación de servicios profesionales para apoyar el monitoreo, soporte, mantenimiento y sostenibilidad de los sistemas de información y la infraestructura tecnológica del IDEP y la implementación del Subsistema de Seguridad de la Información que hace parte del Sistema Integrado de Gestión de la entidad.</v>
      </c>
      <c r="J106" s="98">
        <f>+'Plan de Adquisiciones '!J163</f>
        <v>80111600</v>
      </c>
      <c r="K106" s="98" t="str">
        <f>+'Plan de Adquisiciones '!K163</f>
        <v>Jefe Oficina Asesora de Planeación</v>
      </c>
      <c r="L106" s="98" t="str">
        <f>+'Plan de Adquisiciones '!L163</f>
        <v>Jefe Oficina Asesora de Planeación</v>
      </c>
      <c r="M106" s="98" t="str">
        <f>+'Plan de Adquisiciones '!N163</f>
        <v>Marzo</v>
      </c>
      <c r="N106" s="98">
        <f>+'Plan de Adquisiciones '!O163</f>
        <v>10</v>
      </c>
      <c r="O106" s="98" t="str">
        <f>+'Plan de Adquisiciones '!P163</f>
        <v xml:space="preserve"> Contratación Directa</v>
      </c>
      <c r="P106" s="98" t="str">
        <f>+'Plan de Adquisiciones '!Q163</f>
        <v>Directa</v>
      </c>
      <c r="Q106" s="107">
        <f>+'Plan de Adquisiciones '!R163</f>
        <v>53547520</v>
      </c>
      <c r="R106" s="107">
        <f>+'Plan de Adquisiciones '!S163</f>
        <v>0</v>
      </c>
      <c r="S106" s="107">
        <f>+'Plan de Adquisiciones '!T163</f>
        <v>53547520</v>
      </c>
      <c r="T106" s="98">
        <f>+'Plan de Adquisiciones '!U163</f>
        <v>1</v>
      </c>
      <c r="U106" s="107">
        <f>+'Plan de Adquisiciones '!V163</f>
        <v>53547520</v>
      </c>
      <c r="V106" s="107">
        <f>+'Plan de Adquisiciones '!W163</f>
        <v>0</v>
      </c>
      <c r="W106" s="107">
        <f>+'Plan de Adquisiciones '!X163</f>
        <v>53547520</v>
      </c>
      <c r="X106" s="106">
        <f>+'Plan de Adquisiciones '!Y163</f>
        <v>42801</v>
      </c>
      <c r="Y106" s="98">
        <f>+'Plan de Adquisiciones '!Z163</f>
        <v>28</v>
      </c>
      <c r="Z106" s="108" t="str">
        <f>+'Plan de Adquisiciones '!AA163</f>
        <v>JAIME ACOSTA DIAZ</v>
      </c>
    </row>
    <row r="107" spans="1:26" ht="56.25" x14ac:dyDescent="0.25">
      <c r="A107" s="75" t="s">
        <v>171</v>
      </c>
      <c r="B107" s="75" t="s">
        <v>149</v>
      </c>
      <c r="C107" s="75" t="s">
        <v>233</v>
      </c>
      <c r="D107" s="78" t="s">
        <v>153</v>
      </c>
      <c r="E107" s="79" t="s">
        <v>20</v>
      </c>
      <c r="F107" s="98" t="str">
        <f>+'Plan de Adquisiciones '!F166</f>
        <v>Sostenibilidad del SIG en el ámbito de los Subsistemas de la Gestión Ambiental , Seguridad y salud en el trabajo, y la Responsabilidad Social</v>
      </c>
      <c r="G107" s="98">
        <f>+'Plan de Adquisiciones '!G166</f>
        <v>185</v>
      </c>
      <c r="H107" s="98">
        <f>+'Plan de Adquisiciones '!H166</f>
        <v>0</v>
      </c>
      <c r="I107" s="98" t="str">
        <f>+'Plan de Adquisiciones '!I166</f>
        <v>Prestar servicios profesionales para apoyar en la gestión de los procesos asociados con el área de Talento Humano de la entidad.</v>
      </c>
      <c r="J107" s="98">
        <f>+'Plan de Adquisiciones '!J166</f>
        <v>80111600</v>
      </c>
      <c r="K107" s="98" t="str">
        <f>+'Plan de Adquisiciones '!K166</f>
        <v>Subdirector Administrativo</v>
      </c>
      <c r="L107" s="98" t="str">
        <f>+'Plan de Adquisiciones '!L166</f>
        <v>Subdirector Administrativo</v>
      </c>
      <c r="M107" s="98" t="str">
        <f>+'Plan de Adquisiciones '!N166</f>
        <v>Marzo</v>
      </c>
      <c r="N107" s="98">
        <f>+'Plan de Adquisiciones '!O166</f>
        <v>11</v>
      </c>
      <c r="O107" s="98" t="str">
        <f>+'Plan de Adquisiciones '!P166</f>
        <v xml:space="preserve"> Contratación Directa</v>
      </c>
      <c r="P107" s="98" t="str">
        <f>+'Plan de Adquisiciones '!Q166</f>
        <v>Directa</v>
      </c>
      <c r="Q107" s="107">
        <f>+'Plan de Adquisiciones '!R166</f>
        <v>39600000</v>
      </c>
      <c r="R107" s="107">
        <f>+'Plan de Adquisiciones '!S166</f>
        <v>0</v>
      </c>
      <c r="S107" s="107">
        <f>+'Plan de Adquisiciones '!T166</f>
        <v>39600000</v>
      </c>
      <c r="T107" s="98">
        <f>+'Plan de Adquisiciones '!U166</f>
        <v>1</v>
      </c>
      <c r="U107" s="107">
        <f>+'Plan de Adquisiciones '!V166</f>
        <v>39600000</v>
      </c>
      <c r="V107" s="107">
        <f>+'Plan de Adquisiciones '!W166</f>
        <v>0</v>
      </c>
      <c r="W107" s="107">
        <f>+'Plan de Adquisiciones '!X166</f>
        <v>39600000</v>
      </c>
      <c r="X107" s="106">
        <f>+'Plan de Adquisiciones '!Y166</f>
        <v>42808</v>
      </c>
      <c r="Y107" s="98">
        <f>+'Plan de Adquisiciones '!Z166</f>
        <v>35</v>
      </c>
      <c r="Z107" s="108" t="str">
        <f>+'Plan de Adquisiciones '!AA166</f>
        <v>DIEGO VARGAS VARGAS</v>
      </c>
    </row>
    <row r="108" spans="1:26" ht="63" customHeight="1" x14ac:dyDescent="0.25">
      <c r="A108" s="75" t="s">
        <v>171</v>
      </c>
      <c r="B108" s="75" t="s">
        <v>149</v>
      </c>
      <c r="C108" s="75" t="s">
        <v>233</v>
      </c>
      <c r="D108" s="78" t="s">
        <v>153</v>
      </c>
      <c r="E108" s="79" t="s">
        <v>20</v>
      </c>
      <c r="F108" s="98">
        <f>+'Plan de Adquisiciones '!F167</f>
        <v>0</v>
      </c>
      <c r="G108" s="98">
        <f>+'Plan de Adquisiciones '!G167</f>
        <v>259</v>
      </c>
      <c r="H108" s="98">
        <f>+'Plan de Adquisiciones '!H167</f>
        <v>0</v>
      </c>
      <c r="I108" s="98" t="str">
        <f>+'Plan de Adquisiciones '!I167</f>
        <v>Adición No. 01 contrato 111 de 2016 "Prestación de servicios profesionales para el acompañamiento en los procesos de transición e implementación del Nuevo Marco Normativo para Entidades del Gobierno, en convergencia con Normas Internacionales de Información Financiera NIIF y Normas Internacionales de Contabilidad para el Sector Público - NICSP".</v>
      </c>
      <c r="J108" s="98">
        <f>+'Plan de Adquisiciones '!J167</f>
        <v>80111600</v>
      </c>
      <c r="K108" s="98" t="str">
        <f>+'Plan de Adquisiciones '!K167</f>
        <v>Profesional 222-04</v>
      </c>
      <c r="L108" s="98" t="str">
        <f>+'Plan de Adquisiciones '!L167</f>
        <v>Profesional 222-05</v>
      </c>
      <c r="M108" s="98" t="str">
        <f>+'Plan de Adquisiciones '!N167</f>
        <v>Mayo</v>
      </c>
      <c r="N108" s="98">
        <f>+'Plan de Adquisiciones '!O167</f>
        <v>3</v>
      </c>
      <c r="O108" s="98" t="str">
        <f>+'Plan de Adquisiciones '!P167</f>
        <v xml:space="preserve"> Contratación Directa</v>
      </c>
      <c r="P108" s="98" t="str">
        <f>+'Plan de Adquisiciones '!Q167</f>
        <v>Directa</v>
      </c>
      <c r="Q108" s="107">
        <f>+'Plan de Adquisiciones '!R167</f>
        <v>10710000</v>
      </c>
      <c r="R108" s="107">
        <f>+'Plan de Adquisiciones '!S167</f>
        <v>0</v>
      </c>
      <c r="S108" s="107">
        <f>+'Plan de Adquisiciones '!T167</f>
        <v>10710000</v>
      </c>
      <c r="T108" s="98">
        <f>+'Plan de Adquisiciones '!U167</f>
        <v>0</v>
      </c>
      <c r="U108" s="107">
        <f>+'Plan de Adquisiciones '!V167</f>
        <v>10710000</v>
      </c>
      <c r="V108" s="107">
        <f>+'Plan de Adquisiciones '!W167</f>
        <v>0</v>
      </c>
      <c r="W108" s="107">
        <f>+'Plan de Adquisiciones '!X167</f>
        <v>10710000</v>
      </c>
      <c r="X108" s="106">
        <f>+'Plan de Adquisiciones '!Y167</f>
        <v>42866</v>
      </c>
      <c r="Y108" s="98">
        <f>+'Plan de Adquisiciones '!Z167</f>
        <v>111</v>
      </c>
      <c r="Z108" s="108" t="str">
        <f>+'Plan de Adquisiciones '!AA167</f>
        <v>DIEGO ARMANDO GUTIERREZ DIMATE</v>
      </c>
    </row>
    <row r="109" spans="1:26" ht="67.5" x14ac:dyDescent="0.25">
      <c r="A109" s="75" t="s">
        <v>171</v>
      </c>
      <c r="B109" s="75" t="s">
        <v>149</v>
      </c>
      <c r="C109" s="75" t="s">
        <v>233</v>
      </c>
      <c r="D109" s="78" t="s">
        <v>153</v>
      </c>
      <c r="E109" s="79" t="s">
        <v>20</v>
      </c>
      <c r="F109" s="98">
        <f>+'Plan de Adquisiciones '!F168</f>
        <v>0</v>
      </c>
      <c r="G109" s="98">
        <f>+'Plan de Adquisiciones '!G168</f>
        <v>260</v>
      </c>
      <c r="H109" s="98">
        <f>+'Plan de Adquisiciones '!H168</f>
        <v>0</v>
      </c>
      <c r="I109" s="98" t="str">
        <f>+'Plan de Adquisiciones '!I168</f>
        <v>Prestación de servicios para apoyar el seguimiento a planes de mejoramiento, programas e indicadores de la subdirección Administrativa, Financiera y de Control Disciplinario.</v>
      </c>
      <c r="J109" s="98">
        <f>+'Plan de Adquisiciones '!J168</f>
        <v>80111600</v>
      </c>
      <c r="K109" s="98" t="str">
        <f>+'Plan de Adquisiciones '!K168</f>
        <v>Subdirector Administrativo</v>
      </c>
      <c r="L109" s="98" t="str">
        <f>+'Plan de Adquisiciones '!L168</f>
        <v>Subdirector Administrativo</v>
      </c>
      <c r="M109" s="98" t="str">
        <f>+'Plan de Adquisiciones '!N168</f>
        <v>Mayo</v>
      </c>
      <c r="N109" s="98">
        <f>+'Plan de Adquisiciones '!O168</f>
        <v>6</v>
      </c>
      <c r="O109" s="98" t="str">
        <f>+'Plan de Adquisiciones '!P168</f>
        <v xml:space="preserve"> Contratación Directa</v>
      </c>
      <c r="P109" s="98" t="str">
        <f>+'Plan de Adquisiciones '!Q168</f>
        <v>Directa</v>
      </c>
      <c r="Q109" s="107">
        <f>+'Plan de Adquisiciones '!R168</f>
        <v>20400000</v>
      </c>
      <c r="R109" s="107">
        <f>+'Plan de Adquisiciones '!S168</f>
        <v>0</v>
      </c>
      <c r="S109" s="107">
        <f>+'Plan de Adquisiciones '!T168</f>
        <v>20400000</v>
      </c>
      <c r="T109" s="98">
        <f>+'Plan de Adquisiciones '!U168</f>
        <v>1</v>
      </c>
      <c r="U109" s="107">
        <f>+'Plan de Adquisiciones '!V168</f>
        <v>20400000</v>
      </c>
      <c r="V109" s="107">
        <f>+'Plan de Adquisiciones '!W168</f>
        <v>0</v>
      </c>
      <c r="W109" s="107">
        <f>+'Plan de Adquisiciones '!X168</f>
        <v>20400000</v>
      </c>
      <c r="X109" s="106"/>
      <c r="Y109" s="98">
        <f>+'Plan de Adquisiciones '!Z168</f>
        <v>90</v>
      </c>
      <c r="Z109" s="108" t="str">
        <f>+'Plan de Adquisiciones '!AA168</f>
        <v>MARÍA ANGÉLICA MARTÍNEZ VERGARA</v>
      </c>
    </row>
    <row r="110" spans="1:26" ht="45" x14ac:dyDescent="0.25">
      <c r="A110" s="75" t="s">
        <v>171</v>
      </c>
      <c r="B110" s="75" t="s">
        <v>149</v>
      </c>
      <c r="C110" s="75" t="s">
        <v>233</v>
      </c>
      <c r="D110" s="78" t="s">
        <v>153</v>
      </c>
      <c r="E110" s="79" t="s">
        <v>20</v>
      </c>
      <c r="F110" s="98" t="e">
        <f>+'Plan de Adquisiciones '!#REF!</f>
        <v>#REF!</v>
      </c>
      <c r="G110" s="98" t="e">
        <f>+'Plan de Adquisiciones '!#REF!</f>
        <v>#REF!</v>
      </c>
      <c r="H110" s="98" t="e">
        <f>+'Plan de Adquisiciones '!#REF!</f>
        <v>#REF!</v>
      </c>
      <c r="I110" s="98" t="e">
        <f>+'Plan de Adquisiciones '!#REF!</f>
        <v>#REF!</v>
      </c>
      <c r="J110" s="98" t="e">
        <f>+'Plan de Adquisiciones '!#REF!</f>
        <v>#REF!</v>
      </c>
      <c r="K110" s="98" t="e">
        <f>+'Plan de Adquisiciones '!#REF!</f>
        <v>#REF!</v>
      </c>
      <c r="L110" s="98" t="e">
        <f>+'Plan de Adquisiciones '!#REF!</f>
        <v>#REF!</v>
      </c>
      <c r="M110" s="98" t="e">
        <f>+'Plan de Adquisiciones '!#REF!</f>
        <v>#REF!</v>
      </c>
      <c r="N110" s="98" t="e">
        <f>+'Plan de Adquisiciones '!#REF!</f>
        <v>#REF!</v>
      </c>
      <c r="O110" s="98" t="e">
        <f>+'Plan de Adquisiciones '!#REF!</f>
        <v>#REF!</v>
      </c>
      <c r="P110" s="98" t="e">
        <f>+'Plan de Adquisiciones '!#REF!</f>
        <v>#REF!</v>
      </c>
      <c r="Q110" s="107" t="e">
        <f>+'Plan de Adquisiciones '!#REF!</f>
        <v>#REF!</v>
      </c>
      <c r="R110" s="107" t="e">
        <f>+'Plan de Adquisiciones '!#REF!</f>
        <v>#REF!</v>
      </c>
      <c r="S110" s="107" t="e">
        <f>+'Plan de Adquisiciones '!#REF!</f>
        <v>#REF!</v>
      </c>
      <c r="T110" s="98" t="e">
        <f>+'Plan de Adquisiciones '!#REF!</f>
        <v>#REF!</v>
      </c>
      <c r="U110" s="107" t="e">
        <f>+'Plan de Adquisiciones '!#REF!</f>
        <v>#REF!</v>
      </c>
      <c r="V110" s="107" t="e">
        <f>+'Plan de Adquisiciones '!#REF!</f>
        <v>#REF!</v>
      </c>
      <c r="W110" s="107" t="e">
        <f>+'Plan de Adquisiciones '!#REF!</f>
        <v>#REF!</v>
      </c>
      <c r="X110" s="106"/>
      <c r="Y110" s="98" t="e">
        <f>+'Plan de Adquisiciones '!#REF!</f>
        <v>#REF!</v>
      </c>
      <c r="Z110" s="108" t="e">
        <f>+'Plan de Adquisiciones '!#REF!</f>
        <v>#REF!</v>
      </c>
    </row>
    <row r="111" spans="1:26" ht="90" x14ac:dyDescent="0.25">
      <c r="A111" s="75" t="s">
        <v>171</v>
      </c>
      <c r="B111" s="75" t="s">
        <v>149</v>
      </c>
      <c r="C111" s="75" t="s">
        <v>233</v>
      </c>
      <c r="D111" s="78" t="s">
        <v>153</v>
      </c>
      <c r="E111" s="79" t="s">
        <v>20</v>
      </c>
      <c r="F111" s="98">
        <f>+'Plan de Adquisiciones '!F169</f>
        <v>0</v>
      </c>
      <c r="G111" s="98">
        <f>+'Plan de Adquisiciones '!G169</f>
        <v>296</v>
      </c>
      <c r="H111" s="98">
        <f>+'Plan de Adquisiciones '!H169</f>
        <v>0</v>
      </c>
      <c r="I111" s="98" t="str">
        <f>+'Plan de Adquisiciones '!I169</f>
        <v>Prestación de servicios para identificar, evaluar, prevenir, intervenir y monitorear la exposición a factores de riesgo psicosocial en el trabajo, en el marco de la implementación del Sistema de Seguridad y Salud en el trabajo</v>
      </c>
      <c r="J111" s="98">
        <f>+'Plan de Adquisiciones '!J169</f>
        <v>80111600</v>
      </c>
      <c r="K111" s="98" t="str">
        <f>+'Plan de Adquisiciones '!K169</f>
        <v>Subdirector Administrativo</v>
      </c>
      <c r="L111" s="98" t="str">
        <f>+'Plan de Adquisiciones '!L169</f>
        <v>Subdirector Administrativo</v>
      </c>
      <c r="M111" s="98" t="str">
        <f>+'Plan de Adquisiciones '!N169</f>
        <v>Julio</v>
      </c>
      <c r="N111" s="98">
        <f>+'Plan de Adquisiciones '!O169</f>
        <v>1</v>
      </c>
      <c r="O111" s="98" t="str">
        <f>+'Plan de Adquisiciones '!P169</f>
        <v>Minima cuantia</v>
      </c>
      <c r="P111" s="98" t="str">
        <f>+'Plan de Adquisiciones '!Q169</f>
        <v>Minima Cuantia</v>
      </c>
      <c r="Q111" s="107">
        <f>+'Plan de Adquisiciones '!R169</f>
        <v>1695000</v>
      </c>
      <c r="R111" s="107">
        <f>+'Plan de Adquisiciones '!S169</f>
        <v>0</v>
      </c>
      <c r="S111" s="107">
        <f>+'Plan de Adquisiciones '!T169</f>
        <v>1695000</v>
      </c>
      <c r="T111" s="98">
        <f>+'Plan de Adquisiciones '!U169</f>
        <v>0</v>
      </c>
      <c r="U111" s="107">
        <f>+'Plan de Adquisiciones '!V169</f>
        <v>1695000</v>
      </c>
      <c r="V111" s="107">
        <f>+'Plan de Adquisiciones '!W169</f>
        <v>0</v>
      </c>
      <c r="W111" s="107">
        <f>+'Plan de Adquisiciones '!X169</f>
        <v>1695000</v>
      </c>
      <c r="X111" s="106"/>
      <c r="Y111" s="98">
        <f>+'Plan de Adquisiciones '!Z169</f>
        <v>102</v>
      </c>
      <c r="Z111" s="108" t="str">
        <f>+'Plan de Adquisiciones '!AA169</f>
        <v>PSICONSULTING S.A.S</v>
      </c>
    </row>
    <row r="112" spans="1:26" ht="67.5" x14ac:dyDescent="0.25">
      <c r="A112" s="75" t="s">
        <v>171</v>
      </c>
      <c r="B112" s="75" t="s">
        <v>149</v>
      </c>
      <c r="C112" s="75" t="s">
        <v>233</v>
      </c>
      <c r="D112" s="78" t="s">
        <v>153</v>
      </c>
      <c r="E112" s="79" t="s">
        <v>20</v>
      </c>
      <c r="F112" s="98">
        <f>+'Plan de Adquisiciones '!F171</f>
        <v>0</v>
      </c>
      <c r="G112" s="98">
        <f>+'Plan de Adquisiciones '!G171</f>
        <v>117</v>
      </c>
      <c r="H112" s="98">
        <f>+'Plan de Adquisiciones '!H171</f>
        <v>0</v>
      </c>
      <c r="I112" s="98" t="str">
        <f>+'Plan de Adquisiciones '!I171</f>
        <v>Prestacion de servicios profesionales para apoyar y gestionar las actividades relacionadas con el subsistema de Gestión Ambiental, y Seguridad y Salud en el Trabajo</v>
      </c>
      <c r="J112" s="98">
        <f>+'Plan de Adquisiciones '!J171</f>
        <v>80111600</v>
      </c>
      <c r="K112" s="98" t="str">
        <f>+'Plan de Adquisiciones '!K171</f>
        <v>Subdirector Administrativo</v>
      </c>
      <c r="L112" s="98" t="str">
        <f>+'Plan de Adquisiciones '!L171</f>
        <v>Subdirector Administrativo</v>
      </c>
      <c r="M112" s="133" t="str">
        <f>+'Plan de Adquisiciones '!N171</f>
        <v>Abril</v>
      </c>
      <c r="N112" s="98">
        <f>+'Plan de Adquisiciones '!O171</f>
        <v>9</v>
      </c>
      <c r="O112" s="98" t="str">
        <f>+'Plan de Adquisiciones '!P171</f>
        <v xml:space="preserve"> Contratación Directa</v>
      </c>
      <c r="P112" s="98" t="str">
        <f>+'Plan de Adquisiciones '!Q171</f>
        <v>Directa</v>
      </c>
      <c r="Q112" s="107">
        <f>+'Plan de Adquisiciones '!R171</f>
        <v>30033333</v>
      </c>
      <c r="R112" s="107">
        <f>+'Plan de Adquisiciones '!S171</f>
        <v>0</v>
      </c>
      <c r="S112" s="107">
        <f>+'Plan de Adquisiciones '!T171</f>
        <v>30033333</v>
      </c>
      <c r="T112" s="98">
        <f>+'Plan de Adquisiciones '!U171</f>
        <v>1</v>
      </c>
      <c r="U112" s="107">
        <f>+'Plan de Adquisiciones '!V171</f>
        <v>30033333</v>
      </c>
      <c r="V112" s="107">
        <f>+'Plan de Adquisiciones '!W171</f>
        <v>0</v>
      </c>
      <c r="W112" s="107">
        <f>+'Plan de Adquisiciones '!X171</f>
        <v>30033333</v>
      </c>
      <c r="X112" s="106">
        <f>+'Plan de Adquisiciones '!Y171</f>
        <v>42832</v>
      </c>
      <c r="Y112" s="98">
        <f>+'Plan de Adquisiciones '!Z171</f>
        <v>43</v>
      </c>
      <c r="Z112" s="108" t="str">
        <f>+'Plan de Adquisiciones '!AA171</f>
        <v>MARIO GARCIA ANGEL</v>
      </c>
    </row>
    <row r="113" spans="1:26" ht="45" x14ac:dyDescent="0.25">
      <c r="A113" s="75" t="s">
        <v>171</v>
      </c>
      <c r="B113" s="75" t="s">
        <v>149</v>
      </c>
      <c r="C113" s="75" t="s">
        <v>233</v>
      </c>
      <c r="D113" s="78" t="s">
        <v>153</v>
      </c>
      <c r="E113" s="79" t="s">
        <v>20</v>
      </c>
      <c r="F113" s="98" t="e">
        <f>+'Plan de Adquisiciones '!#REF!</f>
        <v>#REF!</v>
      </c>
      <c r="G113" s="98" t="e">
        <f>+'Plan de Adquisiciones '!#REF!</f>
        <v>#REF!</v>
      </c>
      <c r="H113" s="98" t="e">
        <f>+'Plan de Adquisiciones '!#REF!</f>
        <v>#REF!</v>
      </c>
      <c r="I113" s="98" t="e">
        <f>+'Plan de Adquisiciones '!#REF!</f>
        <v>#REF!</v>
      </c>
      <c r="J113" s="98" t="e">
        <f>+'Plan de Adquisiciones '!#REF!</f>
        <v>#REF!</v>
      </c>
      <c r="K113" s="98" t="e">
        <f>+'Plan de Adquisiciones '!#REF!</f>
        <v>#REF!</v>
      </c>
      <c r="L113" s="98" t="e">
        <f>+'Plan de Adquisiciones '!#REF!</f>
        <v>#REF!</v>
      </c>
      <c r="M113" s="98" t="e">
        <f>+'Plan de Adquisiciones '!#REF!</f>
        <v>#REF!</v>
      </c>
      <c r="N113" s="98" t="e">
        <f>+'Plan de Adquisiciones '!#REF!</f>
        <v>#REF!</v>
      </c>
      <c r="O113" s="98" t="e">
        <f>+'Plan de Adquisiciones '!#REF!</f>
        <v>#REF!</v>
      </c>
      <c r="P113" s="98" t="e">
        <f>+'Plan de Adquisiciones '!#REF!</f>
        <v>#REF!</v>
      </c>
      <c r="Q113" s="107" t="e">
        <f>+'Plan de Adquisiciones '!#REF!</f>
        <v>#REF!</v>
      </c>
      <c r="R113" s="107" t="e">
        <f>+'Plan de Adquisiciones '!#REF!</f>
        <v>#REF!</v>
      </c>
      <c r="S113" s="107" t="e">
        <f>+'Plan de Adquisiciones '!#REF!</f>
        <v>#REF!</v>
      </c>
      <c r="T113" s="98" t="e">
        <f>+'Plan de Adquisiciones '!#REF!</f>
        <v>#REF!</v>
      </c>
      <c r="U113" s="107" t="e">
        <f>+'Plan de Adquisiciones '!#REF!</f>
        <v>#REF!</v>
      </c>
      <c r="V113" s="107" t="e">
        <f>+'Plan de Adquisiciones '!#REF!</f>
        <v>#REF!</v>
      </c>
      <c r="W113" s="107" t="e">
        <f>+'Plan de Adquisiciones '!#REF!</f>
        <v>#REF!</v>
      </c>
      <c r="X113" s="106"/>
      <c r="Y113" s="98" t="e">
        <f>+'Plan de Adquisiciones '!#REF!</f>
        <v>#REF!</v>
      </c>
      <c r="Z113" s="108" t="e">
        <f>+'Plan de Adquisiciones '!#REF!</f>
        <v>#REF!</v>
      </c>
    </row>
    <row r="114" spans="1:26" ht="45" x14ac:dyDescent="0.25">
      <c r="A114" s="75" t="s">
        <v>171</v>
      </c>
      <c r="B114" s="75" t="s">
        <v>149</v>
      </c>
      <c r="C114" s="75" t="s">
        <v>233</v>
      </c>
      <c r="D114" s="78" t="s">
        <v>153</v>
      </c>
      <c r="E114" s="79" t="s">
        <v>20</v>
      </c>
      <c r="F114" s="98" t="e">
        <f>+'Plan de Adquisiciones '!#REF!</f>
        <v>#REF!</v>
      </c>
      <c r="G114" s="98" t="e">
        <f>+'Plan de Adquisiciones '!#REF!</f>
        <v>#REF!</v>
      </c>
      <c r="H114" s="98" t="e">
        <f>+'Plan de Adquisiciones '!#REF!</f>
        <v>#REF!</v>
      </c>
      <c r="I114" s="98" t="e">
        <f>+'Plan de Adquisiciones '!#REF!</f>
        <v>#REF!</v>
      </c>
      <c r="J114" s="98" t="e">
        <f>+'Plan de Adquisiciones '!#REF!</f>
        <v>#REF!</v>
      </c>
      <c r="K114" s="98" t="e">
        <f>+'Plan de Adquisiciones '!#REF!</f>
        <v>#REF!</v>
      </c>
      <c r="L114" s="98" t="e">
        <f>+'Plan de Adquisiciones '!#REF!</f>
        <v>#REF!</v>
      </c>
      <c r="M114" s="98" t="e">
        <f>+'Plan de Adquisiciones '!#REF!</f>
        <v>#REF!</v>
      </c>
      <c r="N114" s="98" t="e">
        <f>+'Plan de Adquisiciones '!#REF!</f>
        <v>#REF!</v>
      </c>
      <c r="O114" s="98" t="e">
        <f>+'Plan de Adquisiciones '!#REF!</f>
        <v>#REF!</v>
      </c>
      <c r="P114" s="98" t="e">
        <f>+'Plan de Adquisiciones '!#REF!</f>
        <v>#REF!</v>
      </c>
      <c r="Q114" s="107" t="e">
        <f>+'Plan de Adquisiciones '!#REF!</f>
        <v>#REF!</v>
      </c>
      <c r="R114" s="107" t="e">
        <f>+'Plan de Adquisiciones '!#REF!</f>
        <v>#REF!</v>
      </c>
      <c r="S114" s="107" t="e">
        <f>+'Plan de Adquisiciones '!#REF!</f>
        <v>#REF!</v>
      </c>
      <c r="T114" s="98" t="e">
        <f>+'Plan de Adquisiciones '!#REF!</f>
        <v>#REF!</v>
      </c>
      <c r="U114" s="107" t="e">
        <f>+'Plan de Adquisiciones '!#REF!</f>
        <v>#REF!</v>
      </c>
      <c r="V114" s="107" t="e">
        <f>+'Plan de Adquisiciones '!#REF!</f>
        <v>#REF!</v>
      </c>
      <c r="W114" s="107" t="e">
        <f>+'Plan de Adquisiciones '!#REF!</f>
        <v>#REF!</v>
      </c>
      <c r="X114" s="106"/>
      <c r="Y114" s="98" t="e">
        <f>+'Plan de Adquisiciones '!#REF!</f>
        <v>#REF!</v>
      </c>
      <c r="Z114" s="108" t="e">
        <f>+'Plan de Adquisiciones '!#REF!</f>
        <v>#REF!</v>
      </c>
    </row>
    <row r="115" spans="1:26" ht="24.75" customHeight="1" x14ac:dyDescent="0.25">
      <c r="E115" s="1042" t="s">
        <v>444</v>
      </c>
      <c r="F115" s="1043"/>
      <c r="G115" s="1043"/>
      <c r="H115" s="1043"/>
      <c r="I115" s="1043"/>
      <c r="J115" s="1043"/>
      <c r="K115" s="1043"/>
      <c r="L115" s="1043"/>
      <c r="M115" s="1043"/>
      <c r="N115" s="1043"/>
      <c r="O115" s="1043"/>
      <c r="P115" s="1044"/>
      <c r="Q115" s="119" t="e">
        <f>SUM(Q3:Q114)</f>
        <v>#REF!</v>
      </c>
      <c r="R115" s="119" t="e">
        <f t="shared" ref="R115:Z115" si="4">SUM(R3:R114)</f>
        <v>#REF!</v>
      </c>
      <c r="S115" s="119" t="e">
        <f t="shared" si="4"/>
        <v>#REF!</v>
      </c>
      <c r="T115" s="119" t="e">
        <f t="shared" si="4"/>
        <v>#REF!</v>
      </c>
      <c r="U115" s="119" t="e">
        <f t="shared" si="4"/>
        <v>#REF!</v>
      </c>
      <c r="V115" s="119" t="e">
        <f t="shared" si="4"/>
        <v>#REF!</v>
      </c>
      <c r="W115" s="119" t="e">
        <f t="shared" si="4"/>
        <v>#REF!</v>
      </c>
      <c r="X115" s="105"/>
      <c r="Y115" s="105"/>
      <c r="Z115" s="105" t="e">
        <f t="shared" si="4"/>
        <v>#REF!</v>
      </c>
    </row>
    <row r="116" spans="1:26" x14ac:dyDescent="0.25">
      <c r="S116" s="123">
        <f>+'Plan de Adquisiciones '!T175</f>
        <v>6186914900</v>
      </c>
      <c r="T116" s="123">
        <f>+'Plan de Adquisiciones '!U175</f>
        <v>0</v>
      </c>
      <c r="U116" s="123">
        <f>+'Plan de Adquisiciones '!V175</f>
        <v>3465909210</v>
      </c>
      <c r="V116" s="123">
        <f>+'Plan de Adquisiciones '!W175</f>
        <v>2872450822</v>
      </c>
      <c r="W116" s="123">
        <f>+'Plan de Adquisiciones '!X175</f>
        <v>6170889020</v>
      </c>
    </row>
  </sheetData>
  <autoFilter ref="A2:CS116"/>
  <mergeCells count="1">
    <mergeCell ref="E115:P11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71"/>
  <sheetViews>
    <sheetView view="pageBreakPreview" zoomScale="60" zoomScaleNormal="78" workbookViewId="0">
      <selection activeCell="G13" sqref="G13"/>
    </sheetView>
  </sheetViews>
  <sheetFormatPr baseColWidth="10" defaultRowHeight="15" x14ac:dyDescent="0.25"/>
  <cols>
    <col min="1" max="1" width="5.5703125" customWidth="1"/>
    <col min="2" max="2" width="6.85546875" customWidth="1"/>
    <col min="3" max="3" width="6.7109375" customWidth="1"/>
    <col min="4" max="4" width="7.85546875" customWidth="1"/>
    <col min="5" max="5" width="7.5703125" customWidth="1"/>
    <col min="6" max="6" width="18.85546875" customWidth="1"/>
    <col min="7" max="7" width="104.85546875" customWidth="1"/>
    <col min="8" max="8" width="9.5703125" customWidth="1"/>
    <col min="10" max="10" width="7.85546875" customWidth="1"/>
    <col min="11" max="11" width="6.42578125" customWidth="1"/>
    <col min="12" max="12" width="6.85546875" customWidth="1"/>
    <col min="13" max="13" width="20.85546875" customWidth="1"/>
    <col min="14" max="14" width="21.5703125" customWidth="1"/>
    <col min="15" max="15" width="20.85546875" customWidth="1"/>
    <col min="17" max="17" width="14.85546875" bestFit="1" customWidth="1"/>
  </cols>
  <sheetData>
    <row r="1" spans="1:15" x14ac:dyDescent="0.25">
      <c r="A1" s="7"/>
      <c r="B1" s="7"/>
      <c r="C1" s="7"/>
      <c r="D1" s="7"/>
      <c r="E1" s="1090" t="s">
        <v>160</v>
      </c>
      <c r="F1" s="1090"/>
      <c r="G1" s="1090"/>
      <c r="H1" s="1090"/>
      <c r="I1" s="1090"/>
      <c r="J1" s="1090"/>
      <c r="K1" s="1090"/>
      <c r="L1" s="1090"/>
      <c r="M1" s="1090"/>
      <c r="N1" s="8" t="s">
        <v>5</v>
      </c>
      <c r="O1" s="9"/>
    </row>
    <row r="2" spans="1:15" ht="8.25" customHeight="1" x14ac:dyDescent="0.25">
      <c r="A2" s="7"/>
      <c r="B2" s="7"/>
      <c r="C2" s="7"/>
      <c r="D2" s="7"/>
      <c r="E2" s="1090"/>
      <c r="F2" s="1090"/>
      <c r="G2" s="1090"/>
      <c r="H2" s="1090"/>
      <c r="I2" s="1090"/>
      <c r="J2" s="1090"/>
      <c r="K2" s="1090"/>
      <c r="L2" s="1090"/>
      <c r="M2" s="1090"/>
      <c r="N2" s="8" t="s">
        <v>150</v>
      </c>
      <c r="O2" s="9"/>
    </row>
    <row r="3" spans="1:15" ht="12.75" customHeight="1" x14ac:dyDescent="0.25">
      <c r="A3" s="7"/>
      <c r="B3" s="7"/>
      <c r="C3" s="7"/>
      <c r="D3" s="7"/>
      <c r="E3" s="1090"/>
      <c r="F3" s="1090"/>
      <c r="G3" s="1090"/>
      <c r="H3" s="1090"/>
      <c r="I3" s="1090"/>
      <c r="J3" s="1090"/>
      <c r="K3" s="1090"/>
      <c r="L3" s="1090"/>
      <c r="M3" s="1090"/>
      <c r="N3" s="8" t="s">
        <v>151</v>
      </c>
      <c r="O3" s="10"/>
    </row>
    <row r="4" spans="1:15" x14ac:dyDescent="0.25">
      <c r="A4" s="7"/>
      <c r="B4" s="7"/>
      <c r="C4" s="7"/>
      <c r="D4" s="11"/>
      <c r="E4" s="1090"/>
      <c r="F4" s="1090"/>
      <c r="G4" s="1090"/>
      <c r="H4" s="1090"/>
      <c r="I4" s="1090"/>
      <c r="J4" s="1090"/>
      <c r="K4" s="1090"/>
      <c r="L4" s="1090"/>
      <c r="M4" s="1090"/>
      <c r="N4" s="8" t="s">
        <v>169</v>
      </c>
      <c r="O4" s="12"/>
    </row>
    <row r="5" spans="1:15" x14ac:dyDescent="0.25">
      <c r="A5" s="1067" t="s">
        <v>161</v>
      </c>
      <c r="B5" s="1091"/>
      <c r="C5" s="1091"/>
      <c r="D5" s="15"/>
      <c r="E5" s="1071" t="s">
        <v>15</v>
      </c>
      <c r="F5" s="1072"/>
      <c r="G5" s="1072"/>
      <c r="H5" s="1072"/>
      <c r="I5" s="1072"/>
      <c r="J5" s="1072"/>
      <c r="K5" s="1072"/>
      <c r="L5" s="1072"/>
      <c r="M5" s="1072"/>
      <c r="N5" s="1072"/>
      <c r="O5" s="1073"/>
    </row>
    <row r="6" spans="1:15" x14ac:dyDescent="0.25">
      <c r="A6" s="1067" t="s">
        <v>162</v>
      </c>
      <c r="B6" s="1091"/>
      <c r="C6" s="1091"/>
      <c r="D6" s="192"/>
      <c r="E6" s="1092" t="s">
        <v>163</v>
      </c>
      <c r="F6" s="1093"/>
      <c r="G6" s="1093"/>
      <c r="H6" s="1093"/>
      <c r="I6" s="1093"/>
      <c r="J6" s="1093"/>
      <c r="K6" s="1093"/>
      <c r="L6" s="1093"/>
      <c r="M6" s="1093"/>
      <c r="N6" s="1093"/>
      <c r="O6" s="1094"/>
    </row>
    <row r="7" spans="1:15" x14ac:dyDescent="0.25">
      <c r="A7" s="1065" t="s">
        <v>175</v>
      </c>
      <c r="B7" s="1066"/>
      <c r="C7" s="1067"/>
      <c r="D7" s="16"/>
      <c r="E7" s="1071" t="s">
        <v>164</v>
      </c>
      <c r="F7" s="1072"/>
      <c r="G7" s="1072"/>
      <c r="H7" s="1072"/>
      <c r="I7" s="1072"/>
      <c r="J7" s="1072"/>
      <c r="K7" s="1072"/>
      <c r="L7" s="1072"/>
      <c r="M7" s="1072"/>
      <c r="N7" s="1072"/>
      <c r="O7" s="1073"/>
    </row>
    <row r="8" spans="1:15" x14ac:dyDescent="0.25">
      <c r="A8" s="1065" t="s">
        <v>176</v>
      </c>
      <c r="B8" s="1066"/>
      <c r="C8" s="1067"/>
      <c r="D8" s="16"/>
      <c r="E8" s="1066" t="s">
        <v>165</v>
      </c>
      <c r="F8" s="1066"/>
      <c r="G8" s="1066"/>
      <c r="H8" s="1066"/>
      <c r="I8" s="1066"/>
      <c r="J8" s="1066"/>
      <c r="K8" s="1066"/>
      <c r="L8" s="1066"/>
      <c r="M8" s="1066"/>
      <c r="N8" s="1066"/>
      <c r="O8" s="1066"/>
    </row>
    <row r="9" spans="1:15" x14ac:dyDescent="0.25">
      <c r="A9" s="190" t="s">
        <v>168</v>
      </c>
      <c r="B9" s="191"/>
      <c r="C9" s="189"/>
      <c r="D9" s="16"/>
      <c r="E9" s="1068" t="s">
        <v>166</v>
      </c>
      <c r="F9" s="1069"/>
      <c r="G9" s="1069"/>
      <c r="H9" s="1069"/>
      <c r="I9" s="1069"/>
      <c r="J9" s="1069"/>
      <c r="K9" s="1069"/>
      <c r="L9" s="1069"/>
      <c r="M9" s="1069"/>
      <c r="N9" s="1069"/>
      <c r="O9" s="1070"/>
    </row>
    <row r="10" spans="1:15" x14ac:dyDescent="0.25">
      <c r="A10" s="190" t="s">
        <v>168</v>
      </c>
      <c r="B10" s="191"/>
      <c r="C10" s="189"/>
      <c r="D10" s="16"/>
      <c r="E10" s="1071" t="s">
        <v>167</v>
      </c>
      <c r="F10" s="1072"/>
      <c r="G10" s="1072"/>
      <c r="H10" s="1072"/>
      <c r="I10" s="1072"/>
      <c r="J10" s="1072"/>
      <c r="K10" s="1072"/>
      <c r="L10" s="1072"/>
      <c r="M10" s="1072"/>
      <c r="N10" s="1072"/>
      <c r="O10" s="1073"/>
    </row>
    <row r="11" spans="1:15" ht="36" customHeight="1" x14ac:dyDescent="0.25">
      <c r="A11" s="1074" t="s">
        <v>155</v>
      </c>
      <c r="B11" s="1076" t="s">
        <v>156</v>
      </c>
      <c r="C11" s="1074" t="s">
        <v>157</v>
      </c>
      <c r="D11" s="1074" t="s">
        <v>158</v>
      </c>
      <c r="E11" s="1076" t="s">
        <v>159</v>
      </c>
      <c r="F11" s="1076" t="s">
        <v>0</v>
      </c>
      <c r="G11" s="1103" t="s">
        <v>6</v>
      </c>
      <c r="H11" s="1104" t="s">
        <v>7</v>
      </c>
      <c r="I11" s="1106" t="s">
        <v>8</v>
      </c>
      <c r="J11" s="1081" t="s">
        <v>9</v>
      </c>
      <c r="K11" s="1082"/>
      <c r="L11" s="1083"/>
      <c r="M11" s="1095" t="s">
        <v>1</v>
      </c>
      <c r="N11" s="1077" t="s">
        <v>2</v>
      </c>
      <c r="O11" s="1079" t="s">
        <v>3</v>
      </c>
    </row>
    <row r="12" spans="1:15" ht="30" customHeight="1" x14ac:dyDescent="0.25">
      <c r="A12" s="1075"/>
      <c r="B12" s="1076"/>
      <c r="C12" s="1075"/>
      <c r="D12" s="1075"/>
      <c r="E12" s="1076"/>
      <c r="F12" s="1076"/>
      <c r="G12" s="1103"/>
      <c r="H12" s="1105"/>
      <c r="I12" s="1107"/>
      <c r="J12" s="194" t="s">
        <v>10</v>
      </c>
      <c r="K12" s="194" t="s">
        <v>11</v>
      </c>
      <c r="L12" s="194" t="s">
        <v>12</v>
      </c>
      <c r="M12" s="1096"/>
      <c r="N12" s="1078"/>
      <c r="O12" s="1080"/>
    </row>
    <row r="13" spans="1:15" ht="52.5" customHeight="1" x14ac:dyDescent="0.25">
      <c r="A13" s="844" t="str">
        <f>+E9</f>
        <v>115 Fortalecimiento Institucional desde la Gestión Pedagogíca</v>
      </c>
      <c r="B13" s="844" t="s">
        <v>147</v>
      </c>
      <c r="C13" s="843" t="s">
        <v>132</v>
      </c>
      <c r="D13" s="841" t="s">
        <v>245</v>
      </c>
      <c r="E13" s="841" t="s">
        <v>244</v>
      </c>
      <c r="F13" s="859" t="s">
        <v>40</v>
      </c>
      <c r="G13" s="261" t="s">
        <v>234</v>
      </c>
      <c r="H13" s="69">
        <v>80111621</v>
      </c>
      <c r="I13" s="20" t="s">
        <v>80</v>
      </c>
      <c r="J13" s="19" t="s">
        <v>51</v>
      </c>
      <c r="K13" s="19">
        <v>9</v>
      </c>
      <c r="L13" s="18" t="s">
        <v>61</v>
      </c>
      <c r="M13" s="266">
        <f>73033983-K215</f>
        <v>73033983</v>
      </c>
      <c r="N13" s="267"/>
      <c r="O13" s="210">
        <f t="shared" ref="O13:O15" si="0">SUM(M13:N13)</f>
        <v>73033983</v>
      </c>
    </row>
    <row r="14" spans="1:15" ht="54.75" customHeight="1" x14ac:dyDescent="0.25">
      <c r="A14" s="844"/>
      <c r="B14" s="844"/>
      <c r="C14" s="844"/>
      <c r="D14" s="841"/>
      <c r="E14" s="841"/>
      <c r="F14" s="869"/>
      <c r="G14" s="261" t="s">
        <v>235</v>
      </c>
      <c r="H14" s="69">
        <v>80111621</v>
      </c>
      <c r="I14" s="20" t="s">
        <v>80</v>
      </c>
      <c r="J14" s="19" t="s">
        <v>51</v>
      </c>
      <c r="K14" s="19">
        <v>9</v>
      </c>
      <c r="L14" s="18" t="s">
        <v>61</v>
      </c>
      <c r="M14" s="266">
        <f>53115624+6639453+13278906-6639453</f>
        <v>66394530</v>
      </c>
      <c r="N14" s="267"/>
      <c r="O14" s="210">
        <f t="shared" si="0"/>
        <v>66394530</v>
      </c>
    </row>
    <row r="15" spans="1:15" ht="69.75" customHeight="1" x14ac:dyDescent="0.25">
      <c r="A15" s="844"/>
      <c r="B15" s="844"/>
      <c r="C15" s="844"/>
      <c r="D15" s="841"/>
      <c r="E15" s="841"/>
      <c r="F15" s="869"/>
      <c r="G15" s="262" t="s">
        <v>331</v>
      </c>
      <c r="H15" s="20">
        <v>80111601</v>
      </c>
      <c r="I15" s="20" t="s">
        <v>121</v>
      </c>
      <c r="J15" s="19" t="s">
        <v>63</v>
      </c>
      <c r="K15" s="19">
        <v>8</v>
      </c>
      <c r="L15" s="18" t="s">
        <v>61</v>
      </c>
      <c r="M15" s="266">
        <f>44408759+2704962</f>
        <v>47113721</v>
      </c>
      <c r="N15" s="267"/>
      <c r="O15" s="210">
        <f t="shared" si="0"/>
        <v>47113721</v>
      </c>
    </row>
    <row r="16" spans="1:15" ht="48.75" customHeight="1" x14ac:dyDescent="0.25">
      <c r="A16" s="844"/>
      <c r="B16" s="844"/>
      <c r="C16" s="844"/>
      <c r="D16" s="841"/>
      <c r="E16" s="841"/>
      <c r="F16" s="869"/>
      <c r="G16" s="263" t="s">
        <v>236</v>
      </c>
      <c r="H16" s="20">
        <v>80111601</v>
      </c>
      <c r="I16" s="20" t="s">
        <v>439</v>
      </c>
      <c r="J16" s="19" t="s">
        <v>63</v>
      </c>
      <c r="K16" s="19">
        <v>9</v>
      </c>
      <c r="L16" s="18" t="s">
        <v>61</v>
      </c>
      <c r="M16" s="266">
        <f>73033983-2704962</f>
        <v>70329021</v>
      </c>
      <c r="N16" s="267"/>
      <c r="O16" s="210">
        <f>+M16+N16</f>
        <v>70329021</v>
      </c>
    </row>
    <row r="17" spans="1:15" ht="24" customHeight="1" x14ac:dyDescent="0.25">
      <c r="A17" s="844"/>
      <c r="B17" s="844"/>
      <c r="C17" s="844"/>
      <c r="D17" s="841"/>
      <c r="E17" s="841"/>
      <c r="F17" s="860"/>
      <c r="G17" s="1098" t="s">
        <v>192</v>
      </c>
      <c r="H17" s="1098"/>
      <c r="I17" s="1098"/>
      <c r="J17" s="1098"/>
      <c r="K17" s="21"/>
      <c r="L17" s="22"/>
      <c r="M17" s="268">
        <f>SUM(M13:M16)</f>
        <v>256871255</v>
      </c>
      <c r="N17" s="268">
        <f t="shared" ref="N17:O17" si="1">SUM(N13:N16)</f>
        <v>0</v>
      </c>
      <c r="O17" s="268">
        <f t="shared" si="1"/>
        <v>256871255</v>
      </c>
    </row>
    <row r="18" spans="1:15" ht="22.5" customHeight="1" x14ac:dyDescent="0.25">
      <c r="A18" s="844"/>
      <c r="B18" s="844"/>
      <c r="C18" s="844"/>
      <c r="D18" s="841"/>
      <c r="E18" s="841"/>
      <c r="F18" s="1108" t="s">
        <v>13</v>
      </c>
      <c r="G18" s="1109"/>
      <c r="H18" s="1109"/>
      <c r="I18" s="1109"/>
      <c r="J18" s="1109"/>
      <c r="K18" s="23"/>
      <c r="L18" s="24"/>
      <c r="M18" s="269">
        <f>+M17</f>
        <v>256871255</v>
      </c>
      <c r="N18" s="269">
        <f t="shared" ref="N18:O18" si="2">+N17</f>
        <v>0</v>
      </c>
      <c r="O18" s="269">
        <f t="shared" si="2"/>
        <v>256871255</v>
      </c>
    </row>
    <row r="19" spans="1:15" ht="36" customHeight="1" x14ac:dyDescent="0.25">
      <c r="A19" s="844"/>
      <c r="B19" s="844"/>
      <c r="C19" s="844"/>
      <c r="D19" s="843" t="s">
        <v>196</v>
      </c>
      <c r="E19" s="843" t="s">
        <v>195</v>
      </c>
      <c r="F19" s="870" t="s">
        <v>232</v>
      </c>
      <c r="G19" s="264" t="s">
        <v>197</v>
      </c>
      <c r="H19" s="69">
        <v>80111621</v>
      </c>
      <c r="I19" s="93" t="s">
        <v>81</v>
      </c>
      <c r="J19" s="93" t="s">
        <v>51</v>
      </c>
      <c r="K19" s="93">
        <v>4</v>
      </c>
      <c r="L19" s="25" t="s">
        <v>61</v>
      </c>
      <c r="M19" s="210">
        <v>26557812</v>
      </c>
      <c r="N19" s="210"/>
      <c r="O19" s="210">
        <f>+M19</f>
        <v>26557812</v>
      </c>
    </row>
    <row r="20" spans="1:15" ht="39.75" customHeight="1" x14ac:dyDescent="0.25">
      <c r="A20" s="844"/>
      <c r="B20" s="844"/>
      <c r="C20" s="844"/>
      <c r="D20" s="844"/>
      <c r="E20" s="844"/>
      <c r="F20" s="1047"/>
      <c r="G20" s="205" t="s">
        <v>117</v>
      </c>
      <c r="H20" s="69">
        <v>80111621</v>
      </c>
      <c r="I20" s="93" t="s">
        <v>86</v>
      </c>
      <c r="J20" s="93" t="s">
        <v>118</v>
      </c>
      <c r="K20" s="93">
        <v>5</v>
      </c>
      <c r="L20" s="25" t="s">
        <v>61</v>
      </c>
      <c r="M20" s="210">
        <v>33197265</v>
      </c>
      <c r="N20" s="210"/>
      <c r="O20" s="210">
        <f>+M20+N20</f>
        <v>33197265</v>
      </c>
    </row>
    <row r="21" spans="1:15" ht="64.5" customHeight="1" x14ac:dyDescent="0.25">
      <c r="A21" s="844"/>
      <c r="B21" s="844"/>
      <c r="C21" s="844"/>
      <c r="D21" s="844"/>
      <c r="E21" s="844"/>
      <c r="F21" s="1047"/>
      <c r="G21" s="205" t="s">
        <v>237</v>
      </c>
      <c r="H21" s="69">
        <v>80111621</v>
      </c>
      <c r="I21" s="68" t="s">
        <v>80</v>
      </c>
      <c r="J21" s="25" t="s">
        <v>51</v>
      </c>
      <c r="K21" s="26">
        <v>9</v>
      </c>
      <c r="L21" s="25" t="s">
        <v>61</v>
      </c>
      <c r="M21" s="270">
        <f>(737717*9*4)+33197265</f>
        <v>59755077</v>
      </c>
      <c r="N21" s="271"/>
      <c r="O21" s="210">
        <f>SUM(M21:N21)</f>
        <v>59755077</v>
      </c>
    </row>
    <row r="22" spans="1:15" ht="53.25" customHeight="1" x14ac:dyDescent="0.25">
      <c r="A22" s="844"/>
      <c r="B22" s="844"/>
      <c r="C22" s="844"/>
      <c r="D22" s="844"/>
      <c r="E22" s="844"/>
      <c r="F22" s="1047"/>
      <c r="G22" s="205" t="s">
        <v>238</v>
      </c>
      <c r="H22" s="69">
        <v>80111621</v>
      </c>
      <c r="I22" s="27" t="s">
        <v>80</v>
      </c>
      <c r="J22" s="25" t="s">
        <v>51</v>
      </c>
      <c r="K22" s="26">
        <v>9</v>
      </c>
      <c r="L22" s="25" t="s">
        <v>61</v>
      </c>
      <c r="M22" s="270">
        <f>(737717*9*4)+33197265</f>
        <v>59755077</v>
      </c>
      <c r="N22" s="271"/>
      <c r="O22" s="210">
        <f t="shared" ref="O22:O26" si="3">SUM(M22:N22)</f>
        <v>59755077</v>
      </c>
    </row>
    <row r="23" spans="1:15" ht="62.25" customHeight="1" x14ac:dyDescent="0.25">
      <c r="A23" s="844"/>
      <c r="B23" s="844"/>
      <c r="C23" s="844"/>
      <c r="D23" s="844"/>
      <c r="E23" s="844"/>
      <c r="F23" s="1047"/>
      <c r="G23" s="205" t="s">
        <v>239</v>
      </c>
      <c r="H23" s="69">
        <v>80111622</v>
      </c>
      <c r="I23" s="27" t="s">
        <v>80</v>
      </c>
      <c r="J23" s="25" t="s">
        <v>51</v>
      </c>
      <c r="K23" s="26">
        <v>9</v>
      </c>
      <c r="L23" s="18" t="s">
        <v>61</v>
      </c>
      <c r="M23" s="270">
        <v>59755077</v>
      </c>
      <c r="N23" s="271"/>
      <c r="O23" s="210">
        <f>+M23+N23</f>
        <v>59755077</v>
      </c>
    </row>
    <row r="24" spans="1:15" ht="54" customHeight="1" x14ac:dyDescent="0.25">
      <c r="A24" s="844"/>
      <c r="B24" s="844"/>
      <c r="C24" s="844"/>
      <c r="D24" s="844"/>
      <c r="E24" s="844"/>
      <c r="F24" s="1047"/>
      <c r="G24" s="205" t="s">
        <v>115</v>
      </c>
      <c r="H24" s="69">
        <v>80111621</v>
      </c>
      <c r="I24" s="27" t="s">
        <v>80</v>
      </c>
      <c r="J24" s="25" t="s">
        <v>51</v>
      </c>
      <c r="K24" s="26">
        <v>9</v>
      </c>
      <c r="L24" s="18" t="s">
        <v>61</v>
      </c>
      <c r="M24" s="270">
        <f>(737717*11*9)</f>
        <v>73033983</v>
      </c>
      <c r="N24" s="271"/>
      <c r="O24" s="210">
        <f t="shared" si="3"/>
        <v>73033983</v>
      </c>
    </row>
    <row r="25" spans="1:15" ht="71.25" customHeight="1" x14ac:dyDescent="0.25">
      <c r="A25" s="844"/>
      <c r="B25" s="844"/>
      <c r="C25" s="844"/>
      <c r="D25" s="844"/>
      <c r="E25" s="844"/>
      <c r="F25" s="1047"/>
      <c r="G25" s="205" t="s">
        <v>495</v>
      </c>
      <c r="H25" s="69">
        <v>80111621</v>
      </c>
      <c r="I25" s="28" t="s">
        <v>80</v>
      </c>
      <c r="J25" s="18" t="s">
        <v>118</v>
      </c>
      <c r="K25" s="89">
        <v>5</v>
      </c>
      <c r="L25" s="18" t="s">
        <v>61</v>
      </c>
      <c r="M25" s="270">
        <v>206500000</v>
      </c>
      <c r="N25" s="271"/>
      <c r="O25" s="210">
        <f t="shared" si="3"/>
        <v>206500000</v>
      </c>
    </row>
    <row r="26" spans="1:15" ht="48" customHeight="1" x14ac:dyDescent="0.25">
      <c r="A26" s="844"/>
      <c r="B26" s="844"/>
      <c r="C26" s="844"/>
      <c r="D26" s="844"/>
      <c r="E26" s="844"/>
      <c r="F26" s="1047"/>
      <c r="G26" s="265" t="s">
        <v>116</v>
      </c>
      <c r="H26" s="69">
        <v>80111601</v>
      </c>
      <c r="I26" s="27" t="s">
        <v>80</v>
      </c>
      <c r="J26" s="25" t="s">
        <v>72</v>
      </c>
      <c r="K26" s="26">
        <v>11</v>
      </c>
      <c r="L26" s="18" t="s">
        <v>61</v>
      </c>
      <c r="M26" s="270">
        <f>(737717*5*11)</f>
        <v>40574435</v>
      </c>
      <c r="N26" s="271"/>
      <c r="O26" s="210">
        <f t="shared" si="3"/>
        <v>40574435</v>
      </c>
    </row>
    <row r="27" spans="1:15" x14ac:dyDescent="0.25">
      <c r="A27" s="844"/>
      <c r="B27" s="844"/>
      <c r="C27" s="844"/>
      <c r="D27" s="844"/>
      <c r="E27" s="844"/>
      <c r="F27" s="871"/>
      <c r="G27" s="1098" t="s">
        <v>192</v>
      </c>
      <c r="H27" s="1098"/>
      <c r="I27" s="1098"/>
      <c r="J27" s="1098"/>
      <c r="K27" s="21"/>
      <c r="L27" s="22"/>
      <c r="M27" s="268">
        <f>SUM(M19:M26)</f>
        <v>559128726</v>
      </c>
      <c r="N27" s="268">
        <f t="shared" ref="N27:O27" si="4">SUM(N19:N26)</f>
        <v>0</v>
      </c>
      <c r="O27" s="268">
        <f t="shared" si="4"/>
        <v>559128726</v>
      </c>
    </row>
    <row r="28" spans="1:15" x14ac:dyDescent="0.25">
      <c r="A28" s="845"/>
      <c r="B28" s="844"/>
      <c r="C28" s="844"/>
      <c r="D28" s="845"/>
      <c r="E28" s="845"/>
      <c r="F28" s="839" t="s">
        <v>13</v>
      </c>
      <c r="G28" s="839"/>
      <c r="H28" s="839"/>
      <c r="I28" s="839"/>
      <c r="J28" s="839"/>
      <c r="K28" s="23"/>
      <c r="L28" s="24"/>
      <c r="M28" s="269">
        <f>+M27</f>
        <v>559128726</v>
      </c>
      <c r="N28" s="269">
        <f t="shared" ref="N28:O28" si="5">+N27</f>
        <v>0</v>
      </c>
      <c r="O28" s="269">
        <f t="shared" si="5"/>
        <v>559128726</v>
      </c>
    </row>
    <row r="29" spans="1:15" ht="106.5" customHeight="1" x14ac:dyDescent="0.25">
      <c r="A29" s="1102" t="str">
        <f>+A13</f>
        <v>115 Fortalecimiento Institucional desde la Gestión Pedagogíca</v>
      </c>
      <c r="B29" s="1099" t="str">
        <f>+B13</f>
        <v>Codigo 383 
Un sistema de seguimiento a la Política Educativa Distrital en los contestos Escolare Ajustado e Implementado</v>
      </c>
      <c r="C29" s="1099" t="str">
        <f>+C13</f>
        <v>Componente No.1 "Sistema de Seguimiento a la política educativa distrital en los contextos escolares."</v>
      </c>
      <c r="D29" s="1102" t="s">
        <v>36</v>
      </c>
      <c r="E29" s="1102" t="s">
        <v>363</v>
      </c>
      <c r="F29" s="1100" t="s">
        <v>332</v>
      </c>
      <c r="G29" s="195" t="s">
        <v>490</v>
      </c>
      <c r="H29" s="29">
        <v>80111621</v>
      </c>
      <c r="I29" s="34" t="s">
        <v>122</v>
      </c>
      <c r="J29" s="34" t="s">
        <v>118</v>
      </c>
      <c r="K29" s="34">
        <v>6</v>
      </c>
      <c r="L29" s="25" t="s">
        <v>61</v>
      </c>
      <c r="M29" s="196">
        <f>50000000-50000000+100000000</f>
        <v>100000000</v>
      </c>
      <c r="N29" s="196"/>
      <c r="O29" s="196">
        <f>+M29+N29</f>
        <v>100000000</v>
      </c>
    </row>
    <row r="30" spans="1:15" ht="24.75" customHeight="1" x14ac:dyDescent="0.25">
      <c r="A30" s="1099"/>
      <c r="B30" s="1099"/>
      <c r="C30" s="1099"/>
      <c r="D30" s="1099"/>
      <c r="E30" s="1099"/>
      <c r="F30" s="1101"/>
      <c r="G30" s="188"/>
      <c r="H30" s="21"/>
      <c r="I30" s="21"/>
      <c r="J30" s="21"/>
      <c r="K30" s="21"/>
      <c r="L30" s="31"/>
      <c r="M30" s="197">
        <f>+M29</f>
        <v>100000000</v>
      </c>
      <c r="N30" s="197"/>
      <c r="O30" s="197">
        <f>+O29</f>
        <v>100000000</v>
      </c>
    </row>
    <row r="31" spans="1:15" ht="75" customHeight="1" x14ac:dyDescent="0.25">
      <c r="A31" s="1099"/>
      <c r="B31" s="1099"/>
      <c r="C31" s="1099"/>
      <c r="D31" s="1099"/>
      <c r="E31" s="1099"/>
      <c r="F31" s="1114" t="s">
        <v>367</v>
      </c>
      <c r="G31" s="88" t="s">
        <v>333</v>
      </c>
      <c r="H31" s="29">
        <v>80111621</v>
      </c>
      <c r="I31" s="68" t="s">
        <v>86</v>
      </c>
      <c r="J31" s="72" t="s">
        <v>63</v>
      </c>
      <c r="K31" s="92">
        <v>4</v>
      </c>
      <c r="L31" s="25" t="s">
        <v>61</v>
      </c>
      <c r="M31" s="87"/>
      <c r="N31" s="198">
        <v>19918359</v>
      </c>
      <c r="O31" s="199">
        <f>+M31+N31</f>
        <v>19918359</v>
      </c>
    </row>
    <row r="32" spans="1:15" ht="57.75" customHeight="1" x14ac:dyDescent="0.25">
      <c r="A32" s="1099"/>
      <c r="B32" s="1099"/>
      <c r="C32" s="1099"/>
      <c r="D32" s="1099"/>
      <c r="E32" s="1099"/>
      <c r="F32" s="1115"/>
      <c r="G32" s="88" t="s">
        <v>334</v>
      </c>
      <c r="H32" s="29">
        <v>80111621</v>
      </c>
      <c r="I32" s="68" t="s">
        <v>86</v>
      </c>
      <c r="J32" s="72" t="s">
        <v>56</v>
      </c>
      <c r="K32" s="92">
        <v>4</v>
      </c>
      <c r="L32" s="25" t="s">
        <v>61</v>
      </c>
      <c r="M32" s="87"/>
      <c r="N32" s="198">
        <v>27590616</v>
      </c>
      <c r="O32" s="199">
        <f t="shared" ref="O32:O35" si="6">+M32+N32</f>
        <v>27590616</v>
      </c>
    </row>
    <row r="33" spans="1:15" ht="60.75" customHeight="1" x14ac:dyDescent="0.25">
      <c r="A33" s="1099"/>
      <c r="B33" s="1099"/>
      <c r="C33" s="1099"/>
      <c r="D33" s="1099"/>
      <c r="E33" s="1099"/>
      <c r="F33" s="1115"/>
      <c r="G33" s="88" t="s">
        <v>335</v>
      </c>
      <c r="H33" s="29">
        <v>80111621</v>
      </c>
      <c r="I33" s="68" t="s">
        <v>86</v>
      </c>
      <c r="J33" s="72" t="s">
        <v>56</v>
      </c>
      <c r="K33" s="92">
        <v>4</v>
      </c>
      <c r="L33" s="25" t="s">
        <v>61</v>
      </c>
      <c r="M33" s="87"/>
      <c r="N33" s="198">
        <v>27590616</v>
      </c>
      <c r="O33" s="199">
        <f t="shared" si="6"/>
        <v>27590616</v>
      </c>
    </row>
    <row r="34" spans="1:15" ht="57" customHeight="1" x14ac:dyDescent="0.25">
      <c r="A34" s="1099"/>
      <c r="B34" s="1099"/>
      <c r="C34" s="1099"/>
      <c r="D34" s="1099"/>
      <c r="E34" s="1099"/>
      <c r="F34" s="1115"/>
      <c r="G34" s="88" t="s">
        <v>336</v>
      </c>
      <c r="H34" s="29">
        <v>80111621</v>
      </c>
      <c r="I34" s="68" t="s">
        <v>86</v>
      </c>
      <c r="J34" s="72" t="s">
        <v>56</v>
      </c>
      <c r="K34" s="92">
        <v>4</v>
      </c>
      <c r="L34" s="25" t="s">
        <v>61</v>
      </c>
      <c r="M34" s="198">
        <v>14936309</v>
      </c>
      <c r="N34" s="198">
        <v>4982050</v>
      </c>
      <c r="O34" s="199">
        <f t="shared" si="6"/>
        <v>19918359</v>
      </c>
    </row>
    <row r="35" spans="1:15" ht="57.75" customHeight="1" x14ac:dyDescent="0.25">
      <c r="A35" s="1099"/>
      <c r="B35" s="1099"/>
      <c r="C35" s="1099"/>
      <c r="D35" s="1099"/>
      <c r="E35" s="1099"/>
      <c r="F35" s="1115"/>
      <c r="G35" s="88" t="s">
        <v>337</v>
      </c>
      <c r="H35" s="29">
        <v>80111621</v>
      </c>
      <c r="I35" s="68" t="s">
        <v>86</v>
      </c>
      <c r="J35" s="72" t="s">
        <v>56</v>
      </c>
      <c r="K35" s="92">
        <v>4</v>
      </c>
      <c r="L35" s="25" t="s">
        <v>61</v>
      </c>
      <c r="M35" s="87"/>
      <c r="N35" s="198">
        <v>19918359</v>
      </c>
      <c r="O35" s="199">
        <f t="shared" si="6"/>
        <v>19918359</v>
      </c>
    </row>
    <row r="36" spans="1:15" ht="54" customHeight="1" x14ac:dyDescent="0.25">
      <c r="A36" s="1099"/>
      <c r="B36" s="1099"/>
      <c r="C36" s="1099"/>
      <c r="D36" s="1099"/>
      <c r="E36" s="1099"/>
      <c r="F36" s="1115"/>
      <c r="G36" s="88" t="s">
        <v>390</v>
      </c>
      <c r="H36" s="29">
        <v>80111621</v>
      </c>
      <c r="I36" s="68" t="s">
        <v>86</v>
      </c>
      <c r="J36" s="72" t="s">
        <v>63</v>
      </c>
      <c r="K36" s="92">
        <v>4</v>
      </c>
      <c r="L36" s="25" t="s">
        <v>61</v>
      </c>
      <c r="M36" s="200">
        <v>14754340</v>
      </c>
      <c r="N36" s="84"/>
      <c r="O36" s="199">
        <f>+M36+N36</f>
        <v>14754340</v>
      </c>
    </row>
    <row r="37" spans="1:15" ht="76.5" customHeight="1" x14ac:dyDescent="0.25">
      <c r="A37" s="1099"/>
      <c r="B37" s="1099"/>
      <c r="C37" s="1099"/>
      <c r="D37" s="1099"/>
      <c r="E37" s="1099"/>
      <c r="F37" s="1116"/>
      <c r="G37" s="88" t="s">
        <v>351</v>
      </c>
      <c r="H37" s="29">
        <v>80111621</v>
      </c>
      <c r="I37" s="68" t="s">
        <v>122</v>
      </c>
      <c r="J37" s="72" t="s">
        <v>56</v>
      </c>
      <c r="K37" s="92">
        <v>7</v>
      </c>
      <c r="L37" s="25" t="s">
        <v>61</v>
      </c>
      <c r="M37" s="200">
        <v>3309351</v>
      </c>
      <c r="N37" s="84"/>
      <c r="O37" s="199">
        <f>+M37+N37</f>
        <v>3309351</v>
      </c>
    </row>
    <row r="38" spans="1:15" ht="30" customHeight="1" x14ac:dyDescent="0.25">
      <c r="A38" s="1099"/>
      <c r="B38" s="1099"/>
      <c r="C38" s="1099"/>
      <c r="D38" s="1099"/>
      <c r="E38" s="1099"/>
      <c r="F38" s="1097" t="s">
        <v>170</v>
      </c>
      <c r="G38" s="1098"/>
      <c r="H38" s="21"/>
      <c r="I38" s="21"/>
      <c r="J38" s="21"/>
      <c r="K38" s="21"/>
      <c r="L38" s="22"/>
      <c r="M38" s="197">
        <f>SUM(M31:M37)</f>
        <v>33000000</v>
      </c>
      <c r="N38" s="197">
        <f t="shared" ref="N38:O38" si="7">SUM(N31:N37)</f>
        <v>100000000</v>
      </c>
      <c r="O38" s="197">
        <f t="shared" si="7"/>
        <v>133000000</v>
      </c>
    </row>
    <row r="39" spans="1:15" ht="69.75" customHeight="1" x14ac:dyDescent="0.25">
      <c r="A39" s="1084" t="str">
        <f>+A29</f>
        <v>115 Fortalecimiento Institucional desde la Gestión Pedagogíca</v>
      </c>
      <c r="B39" s="1084" t="str">
        <f>+B29</f>
        <v>Codigo 383 
Un sistema de seguimiento a la Política Educativa Distrital en los contestos Escolare Ajustado e Implementado</v>
      </c>
      <c r="C39" s="1084" t="str">
        <f>+C29</f>
        <v>Componente No.1 "Sistema de Seguimiento a la política educativa distrital en los contextos escolares."</v>
      </c>
      <c r="D39" s="1084" t="str">
        <f>+D29</f>
        <v>Realizar (13) Estudios en Escuela currículo y pedagogía, Educación y políticas públicas y Cualificación docente</v>
      </c>
      <c r="E39" s="1084" t="str">
        <f>+E29</f>
        <v>Realizar 3 Estudios en Escuela currículo y pedagogía, Educación y políticas públicas y Cualificación docente</v>
      </c>
      <c r="F39" s="865" t="s">
        <v>201</v>
      </c>
      <c r="G39" s="201" t="s">
        <v>338</v>
      </c>
      <c r="H39" s="20">
        <v>80111601</v>
      </c>
      <c r="I39" s="34" t="s">
        <v>86</v>
      </c>
      <c r="J39" s="92" t="s">
        <v>63</v>
      </c>
      <c r="K39" s="92">
        <v>8</v>
      </c>
      <c r="L39" s="25" t="s">
        <v>61</v>
      </c>
      <c r="M39" s="196"/>
      <c r="N39" s="200">
        <v>64919096</v>
      </c>
      <c r="O39" s="196">
        <f>+M39+N39</f>
        <v>64919096</v>
      </c>
    </row>
    <row r="40" spans="1:15" ht="87.75" customHeight="1" x14ac:dyDescent="0.25">
      <c r="A40" s="1084"/>
      <c r="B40" s="1084"/>
      <c r="C40" s="1084"/>
      <c r="D40" s="1084"/>
      <c r="E40" s="1084"/>
      <c r="F40" s="866"/>
      <c r="G40" s="201" t="s">
        <v>339</v>
      </c>
      <c r="H40" s="20">
        <v>80111601</v>
      </c>
      <c r="I40" s="34" t="s">
        <v>86</v>
      </c>
      <c r="J40" s="92" t="s">
        <v>63</v>
      </c>
      <c r="K40" s="92">
        <v>7</v>
      </c>
      <c r="L40" s="25" t="s">
        <v>61</v>
      </c>
      <c r="M40" s="196"/>
      <c r="N40" s="198">
        <v>46476171</v>
      </c>
      <c r="O40" s="196">
        <f t="shared" ref="O40:O46" si="8">+M40+N40</f>
        <v>46476171</v>
      </c>
    </row>
    <row r="41" spans="1:15" ht="93.75" customHeight="1" x14ac:dyDescent="0.25">
      <c r="A41" s="1084"/>
      <c r="B41" s="1084"/>
      <c r="C41" s="1084"/>
      <c r="D41" s="1084"/>
      <c r="E41" s="1084"/>
      <c r="F41" s="866"/>
      <c r="G41" s="201" t="s">
        <v>340</v>
      </c>
      <c r="H41" s="20">
        <v>80111601</v>
      </c>
      <c r="I41" s="34" t="s">
        <v>86</v>
      </c>
      <c r="J41" s="92" t="s">
        <v>63</v>
      </c>
      <c r="K41" s="92">
        <v>7</v>
      </c>
      <c r="L41" s="25" t="s">
        <v>61</v>
      </c>
      <c r="M41" s="196"/>
      <c r="N41" s="200">
        <v>46476171</v>
      </c>
      <c r="O41" s="196">
        <f t="shared" si="8"/>
        <v>46476171</v>
      </c>
    </row>
    <row r="42" spans="1:15" ht="88.5" customHeight="1" x14ac:dyDescent="0.25">
      <c r="A42" s="1084"/>
      <c r="B42" s="1084"/>
      <c r="C42" s="1084"/>
      <c r="D42" s="1084"/>
      <c r="E42" s="1084"/>
      <c r="F42" s="866"/>
      <c r="G42" s="201" t="s">
        <v>341</v>
      </c>
      <c r="H42" s="20">
        <v>80111601</v>
      </c>
      <c r="I42" s="34" t="s">
        <v>86</v>
      </c>
      <c r="J42" s="92" t="s">
        <v>63</v>
      </c>
      <c r="K42" s="92">
        <v>7</v>
      </c>
      <c r="L42" s="25" t="s">
        <v>61</v>
      </c>
      <c r="M42" s="196"/>
      <c r="N42" s="200">
        <v>46476171</v>
      </c>
      <c r="O42" s="196">
        <f t="shared" si="8"/>
        <v>46476171</v>
      </c>
    </row>
    <row r="43" spans="1:15" ht="89.25" customHeight="1" x14ac:dyDescent="0.25">
      <c r="A43" s="1084"/>
      <c r="B43" s="1084"/>
      <c r="C43" s="1084"/>
      <c r="D43" s="1084"/>
      <c r="E43" s="1084"/>
      <c r="F43" s="866"/>
      <c r="G43" s="201" t="s">
        <v>342</v>
      </c>
      <c r="H43" s="20">
        <v>80111601</v>
      </c>
      <c r="I43" s="34" t="s">
        <v>86</v>
      </c>
      <c r="J43" s="92" t="s">
        <v>63</v>
      </c>
      <c r="K43" s="92">
        <v>7</v>
      </c>
      <c r="L43" s="25" t="s">
        <v>61</v>
      </c>
      <c r="M43" s="196"/>
      <c r="N43" s="200">
        <v>46476171</v>
      </c>
      <c r="O43" s="196">
        <f t="shared" si="8"/>
        <v>46476171</v>
      </c>
    </row>
    <row r="44" spans="1:15" ht="75.75" customHeight="1" x14ac:dyDescent="0.25">
      <c r="A44" s="1084"/>
      <c r="B44" s="1084"/>
      <c r="C44" s="1084"/>
      <c r="D44" s="1084"/>
      <c r="E44" s="1084"/>
      <c r="F44" s="866"/>
      <c r="G44" s="201" t="s">
        <v>391</v>
      </c>
      <c r="H44" s="20">
        <v>80111601</v>
      </c>
      <c r="I44" s="34" t="s">
        <v>86</v>
      </c>
      <c r="J44" s="92" t="s">
        <v>63</v>
      </c>
      <c r="K44" s="92">
        <v>8</v>
      </c>
      <c r="L44" s="25" t="s">
        <v>61</v>
      </c>
      <c r="M44" s="196"/>
      <c r="N44" s="200">
        <v>28770963</v>
      </c>
      <c r="O44" s="196">
        <f t="shared" si="8"/>
        <v>28770963</v>
      </c>
    </row>
    <row r="45" spans="1:15" ht="87" customHeight="1" x14ac:dyDescent="0.25">
      <c r="A45" s="1084"/>
      <c r="B45" s="1084"/>
      <c r="C45" s="1084"/>
      <c r="D45" s="1084"/>
      <c r="E45" s="1084"/>
      <c r="F45" s="866"/>
      <c r="G45" s="201" t="s">
        <v>496</v>
      </c>
      <c r="H45" s="20">
        <v>80111601</v>
      </c>
      <c r="I45" s="34" t="s">
        <v>86</v>
      </c>
      <c r="J45" s="92" t="s">
        <v>118</v>
      </c>
      <c r="K45" s="92">
        <v>6</v>
      </c>
      <c r="L45" s="25" t="s">
        <v>61</v>
      </c>
      <c r="M45" s="196"/>
      <c r="N45" s="198">
        <v>200000000</v>
      </c>
      <c r="O45" s="196">
        <f t="shared" si="8"/>
        <v>200000000</v>
      </c>
    </row>
    <row r="46" spans="1:15" ht="79.5" customHeight="1" x14ac:dyDescent="0.25">
      <c r="A46" s="1084"/>
      <c r="B46" s="1084"/>
      <c r="C46" s="1084"/>
      <c r="D46" s="1084"/>
      <c r="E46" s="1084"/>
      <c r="F46" s="867"/>
      <c r="G46" s="201" t="s">
        <v>351</v>
      </c>
      <c r="H46" s="20">
        <v>80111601</v>
      </c>
      <c r="I46" s="34" t="s">
        <v>122</v>
      </c>
      <c r="J46" s="92" t="s">
        <v>56</v>
      </c>
      <c r="K46" s="92">
        <v>7</v>
      </c>
      <c r="L46" s="25" t="s">
        <v>61</v>
      </c>
      <c r="M46" s="196"/>
      <c r="N46" s="198">
        <f>17667540+737717</f>
        <v>18405257</v>
      </c>
      <c r="O46" s="196">
        <f t="shared" si="8"/>
        <v>18405257</v>
      </c>
    </row>
    <row r="47" spans="1:15" ht="30" customHeight="1" x14ac:dyDescent="0.25">
      <c r="A47" s="1084"/>
      <c r="B47" s="1084"/>
      <c r="C47" s="1084"/>
      <c r="D47" s="1084"/>
      <c r="E47" s="1084"/>
      <c r="F47" s="1086" t="s">
        <v>170</v>
      </c>
      <c r="G47" s="1087"/>
      <c r="H47" s="203"/>
      <c r="I47" s="203"/>
      <c r="J47" s="203"/>
      <c r="K47" s="203"/>
      <c r="L47" s="204"/>
      <c r="M47" s="197">
        <f>SUM(M39:M46)</f>
        <v>0</v>
      </c>
      <c r="N47" s="197">
        <f t="shared" ref="N47:O47" si="9">SUM(N39:N46)</f>
        <v>498000000</v>
      </c>
      <c r="O47" s="197">
        <f t="shared" si="9"/>
        <v>498000000</v>
      </c>
    </row>
    <row r="48" spans="1:15" ht="30" customHeight="1" x14ac:dyDescent="0.25">
      <c r="A48" s="1085"/>
      <c r="B48" s="1085"/>
      <c r="C48" s="1085"/>
      <c r="D48" s="1085"/>
      <c r="E48" s="1085"/>
      <c r="F48" s="1088" t="s">
        <v>13</v>
      </c>
      <c r="G48" s="1089"/>
      <c r="H48" s="1089"/>
      <c r="I48" s="1089"/>
      <c r="J48" s="1089"/>
      <c r="K48" s="1089"/>
      <c r="L48" s="1089"/>
      <c r="M48" s="202">
        <f>+M30+M38+M47</f>
        <v>133000000</v>
      </c>
      <c r="N48" s="202">
        <f t="shared" ref="N48:O48" si="10">+N30+N38+N47</f>
        <v>598000000</v>
      </c>
      <c r="O48" s="202">
        <f t="shared" si="10"/>
        <v>731000000</v>
      </c>
    </row>
    <row r="49" spans="1:15" ht="28.5" x14ac:dyDescent="0.25">
      <c r="A49" s="1111" t="str">
        <f>+A13</f>
        <v>115 Fortalecimiento Institucional desde la Gestión Pedagogíca</v>
      </c>
      <c r="B49" s="1084" t="str">
        <f>+B39</f>
        <v>Codigo 383 
Un sistema de seguimiento a la Política Educativa Distrital en los contestos Escolare Ajustado e Implementado</v>
      </c>
      <c r="C49" s="1112" t="str">
        <f>+C39</f>
        <v>Componente No.1 "Sistema de Seguimiento a la política educativa distrital en los contextos escolares."</v>
      </c>
      <c r="D49" s="1111" t="s">
        <v>128</v>
      </c>
      <c r="E49" s="1111" t="s">
        <v>128</v>
      </c>
      <c r="F49" s="1118" t="s">
        <v>108</v>
      </c>
      <c r="G49" s="205" t="s">
        <v>82</v>
      </c>
      <c r="H49" s="69">
        <v>82111801</v>
      </c>
      <c r="I49" s="68" t="s">
        <v>83</v>
      </c>
      <c r="J49" s="35" t="s">
        <v>87</v>
      </c>
      <c r="K49" s="19">
        <v>9</v>
      </c>
      <c r="L49" s="25" t="s">
        <v>61</v>
      </c>
      <c r="M49" s="215">
        <f>20166973+4983027</f>
        <v>25150000</v>
      </c>
      <c r="N49" s="209"/>
      <c r="O49" s="210">
        <f t="shared" ref="O49:O52" si="11">SUM(M49:N49)</f>
        <v>25150000</v>
      </c>
    </row>
    <row r="50" spans="1:15" ht="24" x14ac:dyDescent="0.25">
      <c r="A50" s="1111"/>
      <c r="B50" s="1084"/>
      <c r="C50" s="1084"/>
      <c r="D50" s="1111"/>
      <c r="E50" s="1111"/>
      <c r="F50" s="1119"/>
      <c r="G50" s="205" t="s">
        <v>202</v>
      </c>
      <c r="H50" s="69">
        <v>82111801</v>
      </c>
      <c r="I50" s="68" t="s">
        <v>83</v>
      </c>
      <c r="J50" s="35" t="s">
        <v>51</v>
      </c>
      <c r="K50" s="19">
        <v>9</v>
      </c>
      <c r="L50" s="25" t="s">
        <v>61</v>
      </c>
      <c r="M50" s="215">
        <f>18000000-6964262</f>
        <v>11035738</v>
      </c>
      <c r="N50" s="209"/>
      <c r="O50" s="210">
        <f t="shared" si="11"/>
        <v>11035738</v>
      </c>
    </row>
    <row r="51" spans="1:15" ht="24" x14ac:dyDescent="0.25">
      <c r="A51" s="1111"/>
      <c r="B51" s="1084"/>
      <c r="C51" s="1084"/>
      <c r="D51" s="1111"/>
      <c r="E51" s="1111"/>
      <c r="F51" s="1119"/>
      <c r="G51" s="205" t="s">
        <v>240</v>
      </c>
      <c r="H51" s="69">
        <v>82111801</v>
      </c>
      <c r="I51" s="68" t="s">
        <v>83</v>
      </c>
      <c r="J51" s="35" t="s">
        <v>51</v>
      </c>
      <c r="K51" s="19">
        <v>10</v>
      </c>
      <c r="L51" s="25" t="s">
        <v>61</v>
      </c>
      <c r="M51" s="215">
        <v>7734262</v>
      </c>
      <c r="N51" s="209"/>
      <c r="O51" s="210">
        <f>+M51+N51</f>
        <v>7734262</v>
      </c>
    </row>
    <row r="52" spans="1:15" ht="33.75" customHeight="1" x14ac:dyDescent="0.25">
      <c r="A52" s="1111"/>
      <c r="B52" s="1084"/>
      <c r="C52" s="1084"/>
      <c r="D52" s="1111"/>
      <c r="E52" s="1111"/>
      <c r="F52" s="1119"/>
      <c r="G52" s="206" t="s">
        <v>84</v>
      </c>
      <c r="H52" s="69">
        <v>82111801</v>
      </c>
      <c r="I52" s="68" t="s">
        <v>83</v>
      </c>
      <c r="J52" s="35" t="s">
        <v>56</v>
      </c>
      <c r="K52" s="19">
        <v>7</v>
      </c>
      <c r="L52" s="25" t="s">
        <v>61</v>
      </c>
      <c r="M52" s="215">
        <v>17040000</v>
      </c>
      <c r="N52" s="209"/>
      <c r="O52" s="210">
        <f t="shared" si="11"/>
        <v>17040000</v>
      </c>
    </row>
    <row r="53" spans="1:15" ht="36" customHeight="1" x14ac:dyDescent="0.25">
      <c r="A53" s="1111"/>
      <c r="B53" s="1084"/>
      <c r="C53" s="1084"/>
      <c r="D53" s="1111"/>
      <c r="E53" s="1111"/>
      <c r="F53" s="1119"/>
      <c r="G53" s="205" t="s">
        <v>280</v>
      </c>
      <c r="H53" s="69">
        <v>82111801</v>
      </c>
      <c r="I53" s="68" t="s">
        <v>83</v>
      </c>
      <c r="J53" s="91" t="s">
        <v>56</v>
      </c>
      <c r="K53" s="19">
        <v>9</v>
      </c>
      <c r="L53" s="28" t="s">
        <v>105</v>
      </c>
      <c r="M53" s="215">
        <v>26155250</v>
      </c>
      <c r="N53" s="209"/>
      <c r="O53" s="210">
        <f>+M53+N53</f>
        <v>26155250</v>
      </c>
    </row>
    <row r="54" spans="1:15" x14ac:dyDescent="0.25">
      <c r="A54" s="1111"/>
      <c r="B54" s="1084"/>
      <c r="C54" s="1084"/>
      <c r="D54" s="1111"/>
      <c r="E54" s="1111"/>
      <c r="F54" s="1120"/>
      <c r="G54" s="219" t="s">
        <v>395</v>
      </c>
      <c r="H54" s="69"/>
      <c r="I54" s="68"/>
      <c r="J54" s="91"/>
      <c r="K54" s="19"/>
      <c r="L54" s="28"/>
      <c r="M54" s="215">
        <v>6844750</v>
      </c>
      <c r="N54" s="209"/>
      <c r="O54" s="210">
        <f>+M54+N54</f>
        <v>6844750</v>
      </c>
    </row>
    <row r="55" spans="1:15" x14ac:dyDescent="0.25">
      <c r="A55" s="1111"/>
      <c r="B55" s="1084"/>
      <c r="C55" s="1084"/>
      <c r="D55" s="1111"/>
      <c r="E55" s="1111"/>
      <c r="F55" s="1097" t="s">
        <v>170</v>
      </c>
      <c r="G55" s="1098"/>
      <c r="H55" s="21"/>
      <c r="I55" s="21"/>
      <c r="J55" s="21"/>
      <c r="K55" s="21"/>
      <c r="L55" s="22"/>
      <c r="M55" s="214">
        <f>SUM(M49:M54)</f>
        <v>93960000</v>
      </c>
      <c r="N55" s="214">
        <f>SUM(N49:N54)</f>
        <v>0</v>
      </c>
      <c r="O55" s="214">
        <f>SUM(O49:O54)</f>
        <v>93960000</v>
      </c>
    </row>
    <row r="56" spans="1:15" ht="28.5" x14ac:dyDescent="0.25">
      <c r="A56" s="1111"/>
      <c r="B56" s="1084"/>
      <c r="C56" s="1084"/>
      <c r="D56" s="1111"/>
      <c r="E56" s="1111"/>
      <c r="F56" s="856" t="s">
        <v>109</v>
      </c>
      <c r="G56" s="205" t="s">
        <v>85</v>
      </c>
      <c r="H56" s="69">
        <v>82141504</v>
      </c>
      <c r="I56" s="20" t="s">
        <v>121</v>
      </c>
      <c r="J56" s="35" t="s">
        <v>51</v>
      </c>
      <c r="K56" s="19">
        <v>10</v>
      </c>
      <c r="L56" s="28" t="s">
        <v>61</v>
      </c>
      <c r="M56" s="208">
        <f>13295908</f>
        <v>13295908</v>
      </c>
      <c r="N56" s="209"/>
      <c r="O56" s="210">
        <f t="shared" ref="O56:O64" si="12">SUM(M56:N56)</f>
        <v>13295908</v>
      </c>
    </row>
    <row r="57" spans="1:15" ht="28.5" x14ac:dyDescent="0.25">
      <c r="A57" s="1111"/>
      <c r="B57" s="1084"/>
      <c r="C57" s="1084"/>
      <c r="D57" s="1111"/>
      <c r="E57" s="1111"/>
      <c r="F57" s="857"/>
      <c r="G57" s="205" t="s">
        <v>45</v>
      </c>
      <c r="H57" s="69">
        <v>80111621</v>
      </c>
      <c r="I57" s="20" t="s">
        <v>86</v>
      </c>
      <c r="J57" s="35" t="s">
        <v>87</v>
      </c>
      <c r="K57" s="19">
        <v>10</v>
      </c>
      <c r="L57" s="28" t="s">
        <v>61</v>
      </c>
      <c r="M57" s="208">
        <v>22717000</v>
      </c>
      <c r="N57" s="209"/>
      <c r="O57" s="210">
        <f t="shared" si="12"/>
        <v>22717000</v>
      </c>
    </row>
    <row r="58" spans="1:15" ht="42.75" x14ac:dyDescent="0.25">
      <c r="A58" s="1111"/>
      <c r="B58" s="1084"/>
      <c r="C58" s="1084"/>
      <c r="D58" s="1111"/>
      <c r="E58" s="1111"/>
      <c r="F58" s="857"/>
      <c r="G58" s="205" t="s">
        <v>281</v>
      </c>
      <c r="H58" s="69">
        <v>80111621</v>
      </c>
      <c r="I58" s="20" t="s">
        <v>86</v>
      </c>
      <c r="J58" s="35" t="s">
        <v>87</v>
      </c>
      <c r="K58" s="19">
        <v>10</v>
      </c>
      <c r="L58" s="28" t="s">
        <v>61</v>
      </c>
      <c r="M58" s="208">
        <f>25156700-22717000</f>
        <v>2439700</v>
      </c>
      <c r="N58" s="209"/>
      <c r="O58" s="210">
        <f>+M58+N58</f>
        <v>2439700</v>
      </c>
    </row>
    <row r="59" spans="1:15" ht="42.75" x14ac:dyDescent="0.25">
      <c r="A59" s="1111"/>
      <c r="B59" s="1084"/>
      <c r="C59" s="1084"/>
      <c r="D59" s="1111"/>
      <c r="E59" s="1111"/>
      <c r="F59" s="857"/>
      <c r="G59" s="205" t="s">
        <v>330</v>
      </c>
      <c r="H59" s="20">
        <v>80111601</v>
      </c>
      <c r="I59" s="20" t="s">
        <v>121</v>
      </c>
      <c r="J59" s="19" t="s">
        <v>63</v>
      </c>
      <c r="K59" s="19">
        <v>8</v>
      </c>
      <c r="L59" s="28" t="s">
        <v>61</v>
      </c>
      <c r="M59" s="208">
        <v>76886771</v>
      </c>
      <c r="N59" s="209"/>
      <c r="O59" s="210">
        <f>+M59+N59</f>
        <v>76886771</v>
      </c>
    </row>
    <row r="60" spans="1:15" ht="24" x14ac:dyDescent="0.25">
      <c r="A60" s="1111"/>
      <c r="B60" s="1084"/>
      <c r="C60" s="1084"/>
      <c r="D60" s="1111"/>
      <c r="E60" s="1111"/>
      <c r="F60" s="857"/>
      <c r="G60" s="206" t="s">
        <v>464</v>
      </c>
      <c r="H60" s="20">
        <v>80111601</v>
      </c>
      <c r="I60" s="20" t="s">
        <v>121</v>
      </c>
      <c r="J60" s="33" t="s">
        <v>56</v>
      </c>
      <c r="K60" s="33">
        <v>1</v>
      </c>
      <c r="L60" s="37" t="s">
        <v>61</v>
      </c>
      <c r="M60" s="211">
        <v>2932160</v>
      </c>
      <c r="N60" s="212"/>
      <c r="O60" s="213">
        <f>+M60+N60</f>
        <v>2932160</v>
      </c>
    </row>
    <row r="61" spans="1:15" ht="17.25" customHeight="1" x14ac:dyDescent="0.25">
      <c r="A61" s="1111"/>
      <c r="B61" s="1084"/>
      <c r="C61" s="1084"/>
      <c r="D61" s="1111"/>
      <c r="E61" s="1111"/>
      <c r="F61" s="857"/>
      <c r="G61" s="205" t="s">
        <v>395</v>
      </c>
      <c r="H61" s="20"/>
      <c r="I61" s="20"/>
      <c r="J61" s="33"/>
      <c r="K61" s="33"/>
      <c r="L61" s="37"/>
      <c r="M61" s="211">
        <v>787290</v>
      </c>
      <c r="N61" s="212"/>
      <c r="O61" s="213">
        <v>787290</v>
      </c>
    </row>
    <row r="62" spans="1:15" ht="33.75" customHeight="1" x14ac:dyDescent="0.25">
      <c r="A62" s="1111"/>
      <c r="B62" s="1084"/>
      <c r="C62" s="1084"/>
      <c r="D62" s="1111"/>
      <c r="E62" s="1111"/>
      <c r="F62" s="857"/>
      <c r="G62" s="205" t="s">
        <v>242</v>
      </c>
      <c r="H62" s="69">
        <v>81112103</v>
      </c>
      <c r="I62" s="20" t="s">
        <v>121</v>
      </c>
      <c r="J62" s="35" t="s">
        <v>87</v>
      </c>
      <c r="K62" s="19">
        <v>10</v>
      </c>
      <c r="L62" s="28" t="s">
        <v>61</v>
      </c>
      <c r="M62" s="208">
        <v>30605075</v>
      </c>
      <c r="N62" s="209"/>
      <c r="O62" s="210">
        <f t="shared" si="12"/>
        <v>30605075</v>
      </c>
    </row>
    <row r="63" spans="1:15" ht="42" customHeight="1" x14ac:dyDescent="0.25">
      <c r="A63" s="1111"/>
      <c r="B63" s="1084"/>
      <c r="C63" s="1084"/>
      <c r="D63" s="1111"/>
      <c r="E63" s="1111"/>
      <c r="F63" s="857"/>
      <c r="G63" s="205" t="s">
        <v>241</v>
      </c>
      <c r="H63" s="69">
        <v>83121702</v>
      </c>
      <c r="I63" s="68" t="s">
        <v>83</v>
      </c>
      <c r="J63" s="35" t="s">
        <v>87</v>
      </c>
      <c r="K63" s="19">
        <v>2</v>
      </c>
      <c r="L63" s="28" t="s">
        <v>61</v>
      </c>
      <c r="M63" s="208">
        <v>8825010</v>
      </c>
      <c r="N63" s="209"/>
      <c r="O63" s="210">
        <f t="shared" si="12"/>
        <v>8825010</v>
      </c>
    </row>
    <row r="64" spans="1:15" ht="94.5" customHeight="1" x14ac:dyDescent="0.25">
      <c r="A64" s="1111"/>
      <c r="B64" s="1084"/>
      <c r="C64" s="1084"/>
      <c r="D64" s="1111"/>
      <c r="E64" s="1111"/>
      <c r="F64" s="858"/>
      <c r="G64" s="205" t="s">
        <v>251</v>
      </c>
      <c r="H64" s="69">
        <v>80111621</v>
      </c>
      <c r="I64" s="20" t="s">
        <v>121</v>
      </c>
      <c r="J64" s="35" t="s">
        <v>51</v>
      </c>
      <c r="K64" s="19">
        <v>10</v>
      </c>
      <c r="L64" s="28" t="s">
        <v>61</v>
      </c>
      <c r="M64" s="208">
        <f>67000000+65905523</f>
        <v>132905523</v>
      </c>
      <c r="N64" s="209"/>
      <c r="O64" s="210">
        <f t="shared" si="12"/>
        <v>132905523</v>
      </c>
    </row>
    <row r="65" spans="1:15" x14ac:dyDescent="0.25">
      <c r="A65" s="1111"/>
      <c r="B65" s="1084"/>
      <c r="C65" s="1084"/>
      <c r="D65" s="1111"/>
      <c r="E65" s="1111"/>
      <c r="F65" s="851" t="s">
        <v>170</v>
      </c>
      <c r="G65" s="853"/>
      <c r="H65" s="21"/>
      <c r="I65" s="21"/>
      <c r="J65" s="21"/>
      <c r="K65" s="21"/>
      <c r="L65" s="22"/>
      <c r="M65" s="214">
        <f>SUM(M56:M64)</f>
        <v>291394437</v>
      </c>
      <c r="N65" s="214">
        <f>SUM(N56:N64)</f>
        <v>0</v>
      </c>
      <c r="O65" s="214">
        <f>SUM(O56:O64)</f>
        <v>291394437</v>
      </c>
    </row>
    <row r="66" spans="1:15" ht="42.75" x14ac:dyDescent="0.25">
      <c r="A66" s="1111"/>
      <c r="B66" s="1084"/>
      <c r="C66" s="1084"/>
      <c r="D66" s="1111"/>
      <c r="E66" s="1111"/>
      <c r="F66" s="207" t="s">
        <v>110</v>
      </c>
      <c r="G66" s="218" t="s">
        <v>330</v>
      </c>
      <c r="H66" s="85">
        <v>82111902</v>
      </c>
      <c r="I66" s="20" t="s">
        <v>121</v>
      </c>
      <c r="J66" s="35" t="s">
        <v>63</v>
      </c>
      <c r="K66" s="19">
        <v>8</v>
      </c>
      <c r="L66" s="28" t="s">
        <v>61</v>
      </c>
      <c r="M66" s="215">
        <v>1645582</v>
      </c>
      <c r="N66" s="209"/>
      <c r="O66" s="210">
        <f>+M66+N66</f>
        <v>1645582</v>
      </c>
    </row>
    <row r="67" spans="1:15" x14ac:dyDescent="0.25">
      <c r="A67" s="1111"/>
      <c r="B67" s="1084"/>
      <c r="C67" s="1084"/>
      <c r="D67" s="1111"/>
      <c r="E67" s="1111"/>
      <c r="F67" s="868" t="s">
        <v>170</v>
      </c>
      <c r="G67" s="868"/>
      <c r="H67" s="21"/>
      <c r="I67" s="21"/>
      <c r="J67" s="21"/>
      <c r="K67" s="21"/>
      <c r="L67" s="22"/>
      <c r="M67" s="214">
        <f>+M66</f>
        <v>1645582</v>
      </c>
      <c r="N67" s="214">
        <f t="shared" ref="N67:O67" si="13">+N66</f>
        <v>0</v>
      </c>
      <c r="O67" s="214">
        <f t="shared" si="13"/>
        <v>1645582</v>
      </c>
    </row>
    <row r="68" spans="1:15" x14ac:dyDescent="0.25">
      <c r="A68" s="1111"/>
      <c r="B68" s="1085"/>
      <c r="C68" s="1085"/>
      <c r="D68" s="1111"/>
      <c r="E68" s="1111"/>
      <c r="F68" s="838" t="s">
        <v>17</v>
      </c>
      <c r="G68" s="838"/>
      <c r="H68" s="838"/>
      <c r="I68" s="838"/>
      <c r="J68" s="838"/>
      <c r="K68" s="838"/>
      <c r="L68" s="838"/>
      <c r="M68" s="216">
        <f>+M55+M65+M67</f>
        <v>387000019</v>
      </c>
      <c r="N68" s="216">
        <f>+N55+N65+N67</f>
        <v>0</v>
      </c>
      <c r="O68" s="216">
        <f>+O55+O65+O67</f>
        <v>387000019</v>
      </c>
    </row>
    <row r="69" spans="1:15" ht="15" customHeight="1" x14ac:dyDescent="0.25">
      <c r="A69" s="837" t="s">
        <v>16</v>
      </c>
      <c r="B69" s="837"/>
      <c r="C69" s="837"/>
      <c r="D69" s="837"/>
      <c r="E69" s="837"/>
      <c r="F69" s="837"/>
      <c r="G69" s="837"/>
      <c r="H69" s="837"/>
      <c r="I69" s="837"/>
      <c r="J69" s="837"/>
      <c r="K69" s="837"/>
      <c r="L69" s="837"/>
      <c r="M69" s="217">
        <f>+M68+M48+M28+M18</f>
        <v>1336000000</v>
      </c>
      <c r="N69" s="217">
        <f>+N68+N48+N28+N18</f>
        <v>598000000</v>
      </c>
      <c r="O69" s="217" t="s">
        <v>544</v>
      </c>
    </row>
    <row r="70" spans="1:15" ht="127.5" customHeight="1" x14ac:dyDescent="0.25">
      <c r="A70" s="914" t="str">
        <f>+E10</f>
        <v>113 Bogotá reconoce a sus maestras, maestros y directivos docentes.</v>
      </c>
      <c r="B70" s="908" t="s">
        <v>148</v>
      </c>
      <c r="C70" s="912" t="s">
        <v>131</v>
      </c>
      <c r="D70" s="841" t="s">
        <v>37</v>
      </c>
      <c r="E70" s="841" t="s">
        <v>42</v>
      </c>
      <c r="F70" s="870" t="s">
        <v>43</v>
      </c>
      <c r="G70" s="220" t="s">
        <v>119</v>
      </c>
      <c r="H70" s="69">
        <v>80111621</v>
      </c>
      <c r="I70" s="17" t="s">
        <v>206</v>
      </c>
      <c r="J70" s="33" t="s">
        <v>87</v>
      </c>
      <c r="K70" s="19">
        <v>6</v>
      </c>
      <c r="L70" s="28" t="s">
        <v>61</v>
      </c>
      <c r="M70" s="221">
        <v>48689322</v>
      </c>
      <c r="N70" s="222"/>
      <c r="O70" s="210">
        <f t="shared" ref="O70" si="14">SUM(M70:N70)</f>
        <v>48689322</v>
      </c>
    </row>
    <row r="71" spans="1:15" ht="27.75" customHeight="1" x14ac:dyDescent="0.25">
      <c r="A71" s="906"/>
      <c r="B71" s="909"/>
      <c r="C71" s="913"/>
      <c r="D71" s="841"/>
      <c r="E71" s="841"/>
      <c r="F71" s="871"/>
      <c r="G71" s="1098"/>
      <c r="H71" s="1098"/>
      <c r="I71" s="1098"/>
      <c r="J71" s="1098"/>
      <c r="K71" s="1098"/>
      <c r="L71" s="1123"/>
      <c r="M71" s="223">
        <f>SUM(M70:M70)</f>
        <v>48689322</v>
      </c>
      <c r="N71" s="223">
        <f>SUM(N70:N70)</f>
        <v>0</v>
      </c>
      <c r="O71" s="223">
        <f>SUM(O70:O70)</f>
        <v>48689322</v>
      </c>
    </row>
    <row r="72" spans="1:15" ht="28.5" customHeight="1" x14ac:dyDescent="0.25">
      <c r="A72" s="906"/>
      <c r="B72" s="909"/>
      <c r="C72" s="913"/>
      <c r="D72" s="841"/>
      <c r="E72" s="841"/>
      <c r="F72" s="1110" t="s">
        <v>17</v>
      </c>
      <c r="G72" s="1110"/>
      <c r="H72" s="1110"/>
      <c r="I72" s="1110"/>
      <c r="J72" s="1110"/>
      <c r="K72" s="1110"/>
      <c r="L72" s="1110"/>
      <c r="M72" s="216">
        <f>+M71</f>
        <v>48689322</v>
      </c>
      <c r="N72" s="216">
        <f t="shared" ref="N72:O72" si="15">+N71</f>
        <v>0</v>
      </c>
      <c r="O72" s="216">
        <f t="shared" si="15"/>
        <v>48689322</v>
      </c>
    </row>
    <row r="73" spans="1:15" ht="41.25" customHeight="1" x14ac:dyDescent="0.25">
      <c r="A73" s="906"/>
      <c r="B73" s="909"/>
      <c r="C73" s="913"/>
      <c r="D73" s="843" t="s">
        <v>194</v>
      </c>
      <c r="E73" s="843" t="s">
        <v>364</v>
      </c>
      <c r="F73" s="870" t="s">
        <v>129</v>
      </c>
      <c r="G73" s="224" t="s">
        <v>89</v>
      </c>
      <c r="H73" s="20">
        <v>80111621</v>
      </c>
      <c r="I73" s="20" t="s">
        <v>81</v>
      </c>
      <c r="J73" s="19" t="s">
        <v>51</v>
      </c>
      <c r="K73" s="19">
        <v>9</v>
      </c>
      <c r="L73" s="28" t="s">
        <v>61</v>
      </c>
      <c r="M73" s="211">
        <v>59755077</v>
      </c>
      <c r="N73" s="222"/>
      <c r="O73" s="210">
        <f t="shared" ref="O73:O77" si="16">SUM(M73:N73)</f>
        <v>59755077</v>
      </c>
    </row>
    <row r="74" spans="1:15" ht="29.25" x14ac:dyDescent="0.25">
      <c r="A74" s="906"/>
      <c r="B74" s="909"/>
      <c r="C74" s="913"/>
      <c r="D74" s="844"/>
      <c r="E74" s="844"/>
      <c r="F74" s="1047"/>
      <c r="G74" s="225" t="s">
        <v>90</v>
      </c>
      <c r="H74" s="20">
        <v>80111621</v>
      </c>
      <c r="I74" s="20" t="s">
        <v>81</v>
      </c>
      <c r="J74" s="19" t="s">
        <v>51</v>
      </c>
      <c r="K74" s="19">
        <v>9</v>
      </c>
      <c r="L74" s="28" t="s">
        <v>61</v>
      </c>
      <c r="M74" s="211">
        <v>59755077</v>
      </c>
      <c r="N74" s="222"/>
      <c r="O74" s="210">
        <f t="shared" si="16"/>
        <v>59755077</v>
      </c>
    </row>
    <row r="75" spans="1:15" ht="29.25" x14ac:dyDescent="0.25">
      <c r="A75" s="906"/>
      <c r="B75" s="909"/>
      <c r="C75" s="913"/>
      <c r="D75" s="844"/>
      <c r="E75" s="844"/>
      <c r="F75" s="1047"/>
      <c r="G75" s="224" t="s">
        <v>91</v>
      </c>
      <c r="H75" s="20">
        <v>80111621</v>
      </c>
      <c r="I75" s="20" t="s">
        <v>81</v>
      </c>
      <c r="J75" s="19" t="s">
        <v>51</v>
      </c>
      <c r="K75" s="19">
        <v>9</v>
      </c>
      <c r="L75" s="28" t="s">
        <v>61</v>
      </c>
      <c r="M75" s="211">
        <v>59755077</v>
      </c>
      <c r="N75" s="222"/>
      <c r="O75" s="210">
        <f t="shared" si="16"/>
        <v>59755077</v>
      </c>
    </row>
    <row r="76" spans="1:15" ht="29.25" x14ac:dyDescent="0.25">
      <c r="A76" s="906"/>
      <c r="B76" s="909"/>
      <c r="C76" s="913"/>
      <c r="D76" s="844"/>
      <c r="E76" s="844"/>
      <c r="F76" s="1047"/>
      <c r="G76" s="226" t="s">
        <v>203</v>
      </c>
      <c r="H76" s="20">
        <v>80111621</v>
      </c>
      <c r="I76" s="20" t="s">
        <v>81</v>
      </c>
      <c r="J76" s="19" t="s">
        <v>56</v>
      </c>
      <c r="K76" s="19">
        <v>7</v>
      </c>
      <c r="L76" s="28" t="s">
        <v>61</v>
      </c>
      <c r="M76" s="208">
        <v>200000000</v>
      </c>
      <c r="N76" s="222"/>
      <c r="O76" s="210">
        <f t="shared" si="16"/>
        <v>200000000</v>
      </c>
    </row>
    <row r="77" spans="1:15" ht="29.25" x14ac:dyDescent="0.25">
      <c r="A77" s="906"/>
      <c r="B77" s="909"/>
      <c r="C77" s="913"/>
      <c r="D77" s="844"/>
      <c r="E77" s="844"/>
      <c r="F77" s="1047"/>
      <c r="G77" s="226" t="s">
        <v>92</v>
      </c>
      <c r="H77" s="20">
        <v>80111601</v>
      </c>
      <c r="I77" s="17" t="s">
        <v>206</v>
      </c>
      <c r="J77" s="19" t="s">
        <v>63</v>
      </c>
      <c r="K77" s="19">
        <v>7</v>
      </c>
      <c r="L77" s="28" t="s">
        <v>61</v>
      </c>
      <c r="M77" s="208">
        <v>40574435</v>
      </c>
      <c r="N77" s="215"/>
      <c r="O77" s="210">
        <f t="shared" si="16"/>
        <v>40574435</v>
      </c>
    </row>
    <row r="78" spans="1:15" ht="42.75" x14ac:dyDescent="0.25">
      <c r="A78" s="906"/>
      <c r="B78" s="909"/>
      <c r="C78" s="913"/>
      <c r="D78" s="844"/>
      <c r="E78" s="844"/>
      <c r="F78" s="1047"/>
      <c r="G78" s="201" t="s">
        <v>343</v>
      </c>
      <c r="H78" s="20">
        <v>80111621</v>
      </c>
      <c r="I78" s="20" t="s">
        <v>93</v>
      </c>
      <c r="J78" s="86" t="s">
        <v>63</v>
      </c>
      <c r="K78" s="19">
        <v>8</v>
      </c>
      <c r="L78" s="28" t="s">
        <v>61</v>
      </c>
      <c r="M78" s="227">
        <v>73033983</v>
      </c>
      <c r="N78" s="215"/>
      <c r="O78" s="210">
        <f t="shared" ref="O78:O87" si="17">+M78+N78</f>
        <v>73033983</v>
      </c>
    </row>
    <row r="79" spans="1:15" ht="42.75" x14ac:dyDescent="0.25">
      <c r="A79" s="906"/>
      <c r="B79" s="909"/>
      <c r="C79" s="913"/>
      <c r="D79" s="844"/>
      <c r="E79" s="844"/>
      <c r="F79" s="1047"/>
      <c r="G79" s="201" t="s">
        <v>408</v>
      </c>
      <c r="H79" s="20">
        <v>80111621</v>
      </c>
      <c r="I79" s="20" t="s">
        <v>121</v>
      </c>
      <c r="J79" s="86" t="s">
        <v>63</v>
      </c>
      <c r="K79" s="19">
        <v>8</v>
      </c>
      <c r="L79" s="28" t="s">
        <v>61</v>
      </c>
      <c r="M79" s="227">
        <f>57684318-3364924</f>
        <v>54319394</v>
      </c>
      <c r="N79" s="215"/>
      <c r="O79" s="210">
        <f t="shared" si="17"/>
        <v>54319394</v>
      </c>
    </row>
    <row r="80" spans="1:15" ht="42.75" x14ac:dyDescent="0.25">
      <c r="A80" s="906"/>
      <c r="B80" s="909"/>
      <c r="C80" s="913"/>
      <c r="D80" s="844"/>
      <c r="E80" s="844"/>
      <c r="F80" s="1047"/>
      <c r="G80" s="201" t="s">
        <v>360</v>
      </c>
      <c r="H80" s="20">
        <v>80111621</v>
      </c>
      <c r="I80" s="20" t="s">
        <v>121</v>
      </c>
      <c r="J80" s="72" t="s">
        <v>56</v>
      </c>
      <c r="K80" s="19">
        <v>7</v>
      </c>
      <c r="L80" s="28" t="s">
        <v>61</v>
      </c>
      <c r="M80" s="227">
        <v>35300040</v>
      </c>
      <c r="N80" s="215"/>
      <c r="O80" s="210">
        <f t="shared" si="17"/>
        <v>35300040</v>
      </c>
    </row>
    <row r="81" spans="1:15" ht="42.75" x14ac:dyDescent="0.25">
      <c r="A81" s="906"/>
      <c r="B81" s="909"/>
      <c r="C81" s="913"/>
      <c r="D81" s="844"/>
      <c r="E81" s="844"/>
      <c r="F81" s="1047"/>
      <c r="G81" s="201" t="s">
        <v>344</v>
      </c>
      <c r="H81" s="20">
        <v>80111621</v>
      </c>
      <c r="I81" s="20" t="s">
        <v>93</v>
      </c>
      <c r="J81" s="72" t="s">
        <v>63</v>
      </c>
      <c r="K81" s="19">
        <v>7</v>
      </c>
      <c r="L81" s="28" t="s">
        <v>61</v>
      </c>
      <c r="M81" s="227">
        <v>3981659</v>
      </c>
      <c r="N81" s="227">
        <v>42494512</v>
      </c>
      <c r="O81" s="210">
        <f t="shared" si="17"/>
        <v>46476171</v>
      </c>
    </row>
    <row r="82" spans="1:15" ht="42.75" x14ac:dyDescent="0.25">
      <c r="A82" s="906"/>
      <c r="B82" s="909"/>
      <c r="C82" s="913"/>
      <c r="D82" s="844"/>
      <c r="E82" s="844"/>
      <c r="F82" s="1047"/>
      <c r="G82" s="201" t="s">
        <v>345</v>
      </c>
      <c r="H82" s="69">
        <v>80111621</v>
      </c>
      <c r="I82" s="20" t="s">
        <v>93</v>
      </c>
      <c r="J82" s="72" t="s">
        <v>63</v>
      </c>
      <c r="K82" s="19">
        <v>7</v>
      </c>
      <c r="L82" s="28" t="s">
        <v>61</v>
      </c>
      <c r="M82" s="227"/>
      <c r="N82" s="227">
        <v>46476171</v>
      </c>
      <c r="O82" s="210">
        <f t="shared" si="17"/>
        <v>46476171</v>
      </c>
    </row>
    <row r="83" spans="1:15" ht="42.75" x14ac:dyDescent="0.25">
      <c r="A83" s="906"/>
      <c r="B83" s="909"/>
      <c r="C83" s="913"/>
      <c r="D83" s="844"/>
      <c r="E83" s="844"/>
      <c r="F83" s="1047"/>
      <c r="G83" s="201" t="s">
        <v>346</v>
      </c>
      <c r="H83" s="69">
        <v>80111621</v>
      </c>
      <c r="I83" s="20" t="s">
        <v>93</v>
      </c>
      <c r="J83" s="72" t="s">
        <v>63</v>
      </c>
      <c r="K83" s="19">
        <v>7</v>
      </c>
      <c r="L83" s="28" t="s">
        <v>61</v>
      </c>
      <c r="M83" s="227"/>
      <c r="N83" s="227">
        <v>46476171</v>
      </c>
      <c r="O83" s="210">
        <f t="shared" si="17"/>
        <v>46476171</v>
      </c>
    </row>
    <row r="84" spans="1:15" ht="51.75" customHeight="1" x14ac:dyDescent="0.25">
      <c r="A84" s="914" t="str">
        <f>+A70</f>
        <v>113 Bogotá reconoce a sus maestras, maestros y directivos docentes.</v>
      </c>
      <c r="B84" s="908" t="str">
        <f>+B70</f>
        <v>Codigo 386 
Tres centros de Innovación que dinamizan las Estrategias y procesos en la Red de Innovación del Maestro</v>
      </c>
      <c r="C84" s="1158" t="str">
        <f>+C70</f>
        <v>Componente N° 2: Estategia de Cualificación investigación e innovación docente: Comunidades de saber y de práctica pedagógica</v>
      </c>
      <c r="D84" s="841" t="str">
        <f>+D73</f>
        <v>Realizar cinco (5) estudios de la Estrategia de cualificación, investigación e innovación docente: comunidades de saber y de práctica pedagógica"</v>
      </c>
      <c r="E84" s="841" t="str">
        <f>+E73</f>
        <v xml:space="preserve"> Realizar un (1) estudio de la  Estrategia de cualificación, investigación e innovación docente: comunidades de saber y de práctica pedagógica</v>
      </c>
      <c r="F84" s="1047" t="str">
        <f>+F73</f>
        <v>Estudio de la  Estrategia de cualificación, investigación e innovación docente: comunidades de saber y de práctica pedagógica</v>
      </c>
      <c r="G84" s="201" t="s">
        <v>347</v>
      </c>
      <c r="H84" s="69">
        <v>80111621</v>
      </c>
      <c r="I84" s="20" t="s">
        <v>93</v>
      </c>
      <c r="J84" s="72" t="s">
        <v>63</v>
      </c>
      <c r="K84" s="19">
        <v>8</v>
      </c>
      <c r="L84" s="28" t="s">
        <v>61</v>
      </c>
      <c r="M84" s="227"/>
      <c r="N84" s="227">
        <v>32505654</v>
      </c>
      <c r="O84" s="210">
        <f t="shared" si="17"/>
        <v>32505654</v>
      </c>
    </row>
    <row r="85" spans="1:15" ht="71.25" x14ac:dyDescent="0.25">
      <c r="A85" s="906"/>
      <c r="B85" s="909"/>
      <c r="C85" s="1158"/>
      <c r="D85" s="841"/>
      <c r="E85" s="841"/>
      <c r="F85" s="1047"/>
      <c r="G85" s="201" t="s">
        <v>412</v>
      </c>
      <c r="H85" s="69">
        <v>80111621</v>
      </c>
      <c r="I85" s="17" t="s">
        <v>206</v>
      </c>
      <c r="J85" s="72" t="s">
        <v>118</v>
      </c>
      <c r="K85" s="19">
        <v>5</v>
      </c>
      <c r="L85" s="28" t="s">
        <v>61</v>
      </c>
      <c r="M85" s="227">
        <f>8584356+24780568</f>
        <v>33364924</v>
      </c>
      <c r="N85" s="227">
        <f>128415642+691611+940239</f>
        <v>130047492</v>
      </c>
      <c r="O85" s="210">
        <f t="shared" si="17"/>
        <v>163412416</v>
      </c>
    </row>
    <row r="86" spans="1:15" ht="75.75" customHeight="1" x14ac:dyDescent="0.25">
      <c r="A86" s="906"/>
      <c r="B86" s="909"/>
      <c r="C86" s="1158"/>
      <c r="D86" s="841"/>
      <c r="E86" s="841"/>
      <c r="F86" s="1047"/>
      <c r="G86" s="201" t="s">
        <v>497</v>
      </c>
      <c r="H86" s="69">
        <v>80111621</v>
      </c>
      <c r="I86" s="20" t="s">
        <v>83</v>
      </c>
      <c r="J86" s="72" t="s">
        <v>118</v>
      </c>
      <c r="K86" s="19">
        <v>6</v>
      </c>
      <c r="L86" s="28" t="s">
        <v>61</v>
      </c>
      <c r="M86" s="227"/>
      <c r="N86" s="227">
        <f>202940239-940239</f>
        <v>202000000</v>
      </c>
      <c r="O86" s="210">
        <f t="shared" si="17"/>
        <v>202000000</v>
      </c>
    </row>
    <row r="87" spans="1:15" ht="28.5" x14ac:dyDescent="0.25">
      <c r="A87" s="906"/>
      <c r="B87" s="909"/>
      <c r="C87" s="1158"/>
      <c r="D87" s="841"/>
      <c r="E87" s="841"/>
      <c r="F87" s="871"/>
      <c r="G87" s="201" t="s">
        <v>493</v>
      </c>
      <c r="H87" s="69">
        <v>80111621</v>
      </c>
      <c r="I87" s="20" t="s">
        <v>83</v>
      </c>
      <c r="J87" s="72" t="s">
        <v>118</v>
      </c>
      <c r="K87" s="19">
        <v>6</v>
      </c>
      <c r="L87" s="28" t="s">
        <v>61</v>
      </c>
      <c r="M87" s="227"/>
      <c r="N87" s="227">
        <v>100000000</v>
      </c>
      <c r="O87" s="210">
        <f t="shared" si="17"/>
        <v>100000000</v>
      </c>
    </row>
    <row r="88" spans="1:15" ht="27.75" customHeight="1" x14ac:dyDescent="0.25">
      <c r="A88" s="906"/>
      <c r="B88" s="909"/>
      <c r="C88" s="1158"/>
      <c r="D88" s="841"/>
      <c r="E88" s="841"/>
      <c r="F88" s="851" t="s">
        <v>170</v>
      </c>
      <c r="G88" s="852"/>
      <c r="H88" s="852"/>
      <c r="I88" s="852"/>
      <c r="J88" s="852"/>
      <c r="K88" s="852"/>
      <c r="L88" s="853"/>
      <c r="M88" s="223">
        <f>SUM(M73:M87)</f>
        <v>619839666</v>
      </c>
      <c r="N88" s="223">
        <f>SUM(N73:N87)</f>
        <v>600000000</v>
      </c>
      <c r="O88" s="223">
        <f>SUM(O73:O87)</f>
        <v>1219839666</v>
      </c>
    </row>
    <row r="89" spans="1:15" ht="22.5" customHeight="1" x14ac:dyDescent="0.25">
      <c r="A89" s="906"/>
      <c r="B89" s="909"/>
      <c r="C89" s="1158"/>
      <c r="D89" s="841"/>
      <c r="E89" s="841"/>
      <c r="F89" s="836" t="s">
        <v>17</v>
      </c>
      <c r="G89" s="836"/>
      <c r="H89" s="836"/>
      <c r="I89" s="836"/>
      <c r="J89" s="836"/>
      <c r="K89" s="836"/>
      <c r="L89" s="836"/>
      <c r="M89" s="216">
        <f>+M88</f>
        <v>619839666</v>
      </c>
      <c r="N89" s="216">
        <f t="shared" ref="N89:O89" si="18">+N88</f>
        <v>600000000</v>
      </c>
      <c r="O89" s="216">
        <f t="shared" si="18"/>
        <v>1219839666</v>
      </c>
    </row>
    <row r="90" spans="1:15" ht="50.25" customHeight="1" x14ac:dyDescent="0.25">
      <c r="A90" s="906"/>
      <c r="B90" s="909"/>
      <c r="C90" s="843" t="str">
        <f>+C70</f>
        <v>Componente N° 2: Estategia de Cualificación investigación e innovación docente: Comunidades de saber y de práctica pedagógica</v>
      </c>
      <c r="D90" s="1156" t="s">
        <v>366</v>
      </c>
      <c r="E90" s="1156" t="s">
        <v>365</v>
      </c>
      <c r="F90" s="1155" t="s">
        <v>204</v>
      </c>
      <c r="G90" s="228" t="s">
        <v>361</v>
      </c>
      <c r="H90" s="69">
        <v>80111621</v>
      </c>
      <c r="I90" s="34" t="s">
        <v>205</v>
      </c>
      <c r="J90" s="72" t="s">
        <v>63</v>
      </c>
      <c r="K90" s="17">
        <v>8</v>
      </c>
      <c r="L90" s="28" t="s">
        <v>61</v>
      </c>
      <c r="M90" s="227">
        <v>73040000</v>
      </c>
      <c r="N90" s="229"/>
      <c r="O90" s="230">
        <f>+M90+N90</f>
        <v>73040000</v>
      </c>
    </row>
    <row r="91" spans="1:15" ht="42.75" x14ac:dyDescent="0.25">
      <c r="A91" s="906"/>
      <c r="B91" s="909"/>
      <c r="C91" s="844"/>
      <c r="D91" s="1157"/>
      <c r="E91" s="1157"/>
      <c r="F91" s="1155"/>
      <c r="G91" s="228" t="s">
        <v>352</v>
      </c>
      <c r="H91" s="69">
        <v>80111621</v>
      </c>
      <c r="I91" s="34" t="s">
        <v>205</v>
      </c>
      <c r="J91" s="72" t="s">
        <v>63</v>
      </c>
      <c r="K91" s="17">
        <v>8</v>
      </c>
      <c r="L91" s="28" t="s">
        <v>61</v>
      </c>
      <c r="M91" s="227">
        <v>26960000</v>
      </c>
      <c r="N91" s="231">
        <v>46080000</v>
      </c>
      <c r="O91" s="230">
        <f t="shared" ref="O91:O95" si="19">+M91+N91</f>
        <v>73040000</v>
      </c>
    </row>
    <row r="92" spans="1:15" ht="71.25" x14ac:dyDescent="0.25">
      <c r="A92" s="906"/>
      <c r="B92" s="909"/>
      <c r="C92" s="844"/>
      <c r="D92" s="1157"/>
      <c r="E92" s="1157"/>
      <c r="F92" s="1155"/>
      <c r="G92" s="228" t="s">
        <v>353</v>
      </c>
      <c r="H92" s="69">
        <v>80111621</v>
      </c>
      <c r="I92" s="34" t="s">
        <v>205</v>
      </c>
      <c r="J92" s="72" t="s">
        <v>63</v>
      </c>
      <c r="K92" s="17">
        <v>8</v>
      </c>
      <c r="L92" s="28" t="s">
        <v>61</v>
      </c>
      <c r="M92" s="229"/>
      <c r="N92" s="231">
        <v>73040000</v>
      </c>
      <c r="O92" s="230">
        <f t="shared" si="19"/>
        <v>73040000</v>
      </c>
    </row>
    <row r="93" spans="1:15" ht="55.5" customHeight="1" x14ac:dyDescent="0.25">
      <c r="A93" s="906"/>
      <c r="B93" s="909"/>
      <c r="C93" s="844"/>
      <c r="D93" s="1157"/>
      <c r="E93" s="1157"/>
      <c r="F93" s="1155"/>
      <c r="G93" s="228" t="s">
        <v>413</v>
      </c>
      <c r="H93" s="69">
        <v>80111621</v>
      </c>
      <c r="I93" s="34" t="s">
        <v>205</v>
      </c>
      <c r="J93" s="72" t="s">
        <v>63</v>
      </c>
      <c r="K93" s="17">
        <v>8</v>
      </c>
      <c r="L93" s="28" t="s">
        <v>61</v>
      </c>
      <c r="M93" s="229"/>
      <c r="N93" s="231">
        <f>53115624-23606944</f>
        <v>29508680</v>
      </c>
      <c r="O93" s="230">
        <f t="shared" si="19"/>
        <v>29508680</v>
      </c>
    </row>
    <row r="94" spans="1:15" ht="90" customHeight="1" x14ac:dyDescent="0.25">
      <c r="A94" s="906"/>
      <c r="B94" s="909"/>
      <c r="C94" s="844"/>
      <c r="D94" s="1157"/>
      <c r="E94" s="1157"/>
      <c r="F94" s="1155"/>
      <c r="G94" s="228" t="s">
        <v>354</v>
      </c>
      <c r="H94" s="69">
        <v>80111621</v>
      </c>
      <c r="I94" s="17" t="s">
        <v>206</v>
      </c>
      <c r="J94" s="72" t="s">
        <v>56</v>
      </c>
      <c r="K94" s="17">
        <v>7</v>
      </c>
      <c r="L94" s="28" t="s">
        <v>61</v>
      </c>
      <c r="M94" s="229"/>
      <c r="N94" s="231">
        <f>348255696+24221709</f>
        <v>372477405</v>
      </c>
      <c r="O94" s="230">
        <f t="shared" si="19"/>
        <v>372477405</v>
      </c>
    </row>
    <row r="95" spans="1:15" ht="28.5" x14ac:dyDescent="0.25">
      <c r="A95" s="906"/>
      <c r="B95" s="909"/>
      <c r="C95" s="844"/>
      <c r="D95" s="1157"/>
      <c r="E95" s="1157"/>
      <c r="F95" s="1155"/>
      <c r="G95" s="228" t="s">
        <v>355</v>
      </c>
      <c r="H95" s="69">
        <v>80111621</v>
      </c>
      <c r="I95" s="34" t="s">
        <v>205</v>
      </c>
      <c r="J95" s="72" t="s">
        <v>63</v>
      </c>
      <c r="K95" s="17">
        <v>8</v>
      </c>
      <c r="L95" s="28" t="s">
        <v>61</v>
      </c>
      <c r="M95" s="229"/>
      <c r="N95" s="231">
        <v>28893915</v>
      </c>
      <c r="O95" s="230">
        <f t="shared" si="19"/>
        <v>28893915</v>
      </c>
    </row>
    <row r="96" spans="1:15" ht="33.75" customHeight="1" x14ac:dyDescent="0.25">
      <c r="A96" s="906"/>
      <c r="B96" s="909"/>
      <c r="C96" s="844"/>
      <c r="D96" s="1157"/>
      <c r="E96" s="1157"/>
      <c r="F96" s="1159" t="s">
        <v>170</v>
      </c>
      <c r="G96" s="1160"/>
      <c r="H96" s="1160"/>
      <c r="I96" s="1160"/>
      <c r="J96" s="1160"/>
      <c r="K96" s="1160"/>
      <c r="L96" s="1161"/>
      <c r="M96" s="223">
        <f>SUM(M90:M95)</f>
        <v>100000000</v>
      </c>
      <c r="N96" s="223">
        <f>SUM(N90:N95)</f>
        <v>550000000</v>
      </c>
      <c r="O96" s="223">
        <f>SUM(O90:O95)</f>
        <v>650000000</v>
      </c>
    </row>
    <row r="97" spans="1:15" ht="113.25" customHeight="1" x14ac:dyDescent="0.25">
      <c r="A97" s="909" t="str">
        <f>+A84</f>
        <v>113 Bogotá reconoce a sus maestras, maestros y directivos docentes.</v>
      </c>
      <c r="B97" s="909" t="str">
        <f t="shared" ref="B97:C97" si="20">+B84</f>
        <v>Codigo 386 
Tres centros de Innovación que dinamizan las Estrategias y procesos en la Red de Innovación del Maestro</v>
      </c>
      <c r="C97" s="909" t="str">
        <f t="shared" si="20"/>
        <v>Componente N° 2: Estategia de Cualificación investigación e innovación docente: Comunidades de saber y de práctica pedagógica</v>
      </c>
      <c r="D97" s="909" t="str">
        <f>+D90</f>
        <v>Realizar once (11) Estudios en Escuela currículo y pedagogía, Educación y políticas públicas y Cualificación docente del componente de cualificación, investigación e innovación docente: Comunidades de saber y de práctica pedagógica.</v>
      </c>
      <c r="E97" s="909" t="str">
        <f>+E90</f>
        <v>Realizar tres (3) Estudios Escuela Curriculo y Pedagogía, Educación y políticas públicas y Cualificación docente componente de cualificación, investigación e innovación docente:Comunidades de saber y de práctica pedagógica.</v>
      </c>
      <c r="F97" s="234" t="s">
        <v>111</v>
      </c>
      <c r="G97" s="228" t="s">
        <v>447</v>
      </c>
      <c r="H97" s="64">
        <v>80111621</v>
      </c>
      <c r="I97" s="17" t="s">
        <v>206</v>
      </c>
      <c r="J97" s="30" t="s">
        <v>56</v>
      </c>
      <c r="K97" s="30">
        <v>7</v>
      </c>
      <c r="L97" s="28" t="s">
        <v>61</v>
      </c>
      <c r="M97" s="230">
        <f>100000000+67471012</f>
        <v>167471012</v>
      </c>
      <c r="N97" s="230"/>
      <c r="O97" s="210">
        <f t="shared" ref="O97" si="21">SUM(M97:N97)</f>
        <v>167471012</v>
      </c>
    </row>
    <row r="98" spans="1:15" ht="21" customHeight="1" x14ac:dyDescent="0.25">
      <c r="A98" s="909"/>
      <c r="B98" s="909"/>
      <c r="C98" s="909"/>
      <c r="D98" s="909"/>
      <c r="E98" s="909"/>
      <c r="F98" s="1159" t="s">
        <v>170</v>
      </c>
      <c r="G98" s="1160"/>
      <c r="H98" s="1160"/>
      <c r="I98" s="1160"/>
      <c r="J98" s="1160"/>
      <c r="K98" s="1160"/>
      <c r="L98" s="1161"/>
      <c r="M98" s="223">
        <f>+M97</f>
        <v>167471012</v>
      </c>
      <c r="N98" s="223">
        <f t="shared" ref="N98:O98" si="22">+N97</f>
        <v>0</v>
      </c>
      <c r="O98" s="223">
        <f t="shared" si="22"/>
        <v>167471012</v>
      </c>
    </row>
    <row r="99" spans="1:15" ht="84" customHeight="1" x14ac:dyDescent="0.25">
      <c r="A99" s="909"/>
      <c r="B99" s="909"/>
      <c r="C99" s="909"/>
      <c r="D99" s="909"/>
      <c r="E99" s="909"/>
      <c r="F99" s="921" t="s">
        <v>465</v>
      </c>
      <c r="G99" s="201" t="s">
        <v>349</v>
      </c>
      <c r="H99" s="69">
        <v>80111621</v>
      </c>
      <c r="I99" s="17" t="s">
        <v>80</v>
      </c>
      <c r="J99" s="72" t="s">
        <v>56</v>
      </c>
      <c r="K99" s="34">
        <v>6</v>
      </c>
      <c r="L99" s="28" t="s">
        <v>61</v>
      </c>
      <c r="M99" s="230"/>
      <c r="N99" s="227">
        <v>39836718</v>
      </c>
      <c r="O99" s="230">
        <f>+M99+N99</f>
        <v>39836718</v>
      </c>
    </row>
    <row r="100" spans="1:15" ht="74.25" customHeight="1" x14ac:dyDescent="0.25">
      <c r="A100" s="909"/>
      <c r="B100" s="909"/>
      <c r="C100" s="909"/>
      <c r="D100" s="909"/>
      <c r="E100" s="909"/>
      <c r="F100" s="922"/>
      <c r="G100" s="201" t="s">
        <v>350</v>
      </c>
      <c r="H100" s="69">
        <v>80111621</v>
      </c>
      <c r="I100" s="17" t="s">
        <v>80</v>
      </c>
      <c r="J100" s="72" t="s">
        <v>56</v>
      </c>
      <c r="K100" s="34">
        <v>6</v>
      </c>
      <c r="L100" s="28" t="s">
        <v>61</v>
      </c>
      <c r="M100" s="230"/>
      <c r="N100" s="227">
        <v>39836718</v>
      </c>
      <c r="O100" s="230">
        <f>+M100+N100</f>
        <v>39836718</v>
      </c>
    </row>
    <row r="101" spans="1:15" ht="99.75" customHeight="1" x14ac:dyDescent="0.25">
      <c r="A101" s="909"/>
      <c r="B101" s="909"/>
      <c r="C101" s="909"/>
      <c r="D101" s="909"/>
      <c r="E101" s="909"/>
      <c r="F101" s="923"/>
      <c r="G101" s="201" t="s">
        <v>351</v>
      </c>
      <c r="H101" s="69">
        <v>80111621</v>
      </c>
      <c r="I101" s="17" t="s">
        <v>122</v>
      </c>
      <c r="J101" s="72" t="s">
        <v>56</v>
      </c>
      <c r="K101" s="34">
        <v>7</v>
      </c>
      <c r="L101" s="28" t="s">
        <v>61</v>
      </c>
      <c r="M101" s="230"/>
      <c r="N101" s="227">
        <v>20326564</v>
      </c>
      <c r="O101" s="230">
        <f>+M101+N101</f>
        <v>20326564</v>
      </c>
    </row>
    <row r="102" spans="1:15" ht="20.25" customHeight="1" x14ac:dyDescent="0.25">
      <c r="A102" s="909"/>
      <c r="B102" s="909"/>
      <c r="C102" s="909"/>
      <c r="D102" s="909"/>
      <c r="E102" s="909"/>
      <c r="F102" s="851" t="s">
        <v>170</v>
      </c>
      <c r="G102" s="852"/>
      <c r="H102" s="852"/>
      <c r="I102" s="852"/>
      <c r="J102" s="852"/>
      <c r="K102" s="852"/>
      <c r="L102" s="853"/>
      <c r="M102" s="223">
        <f>SUM(M99:M101)</f>
        <v>0</v>
      </c>
      <c r="N102" s="223">
        <f>SUM(N99:N101)</f>
        <v>100000000</v>
      </c>
      <c r="O102" s="223">
        <f t="shared" ref="O102" si="23">SUM(O99:O101)</f>
        <v>100000000</v>
      </c>
    </row>
    <row r="103" spans="1:15" x14ac:dyDescent="0.25">
      <c r="A103" s="911"/>
      <c r="B103" s="911"/>
      <c r="C103" s="911"/>
      <c r="D103" s="911"/>
      <c r="E103" s="911"/>
      <c r="F103" s="836" t="s">
        <v>17</v>
      </c>
      <c r="G103" s="836"/>
      <c r="H103" s="836"/>
      <c r="I103" s="836"/>
      <c r="J103" s="836"/>
      <c r="K103" s="836"/>
      <c r="L103" s="836"/>
      <c r="M103" s="216">
        <f>+M102+M98+M96</f>
        <v>267471012</v>
      </c>
      <c r="N103" s="216">
        <f>+N96+N98+N102</f>
        <v>650000000</v>
      </c>
      <c r="O103" s="216">
        <f>+O96+O98+O102</f>
        <v>917471012</v>
      </c>
    </row>
    <row r="104" spans="1:15" ht="48.75" customHeight="1" x14ac:dyDescent="0.25">
      <c r="A104" s="914" t="str">
        <f>+A70</f>
        <v>113 Bogotá reconoce a sus maestras, maestros y directivos docentes.</v>
      </c>
      <c r="B104" s="908" t="str">
        <f>+B70</f>
        <v>Codigo 386 
Tres centros de Innovación que dinamizan las Estrategias y procesos en la Red de Innovación del Maestro</v>
      </c>
      <c r="C104" s="912" t="s">
        <v>131</v>
      </c>
      <c r="D104" s="843" t="s">
        <v>44</v>
      </c>
      <c r="E104" s="843" t="s">
        <v>44</v>
      </c>
      <c r="F104" s="1135" t="s">
        <v>112</v>
      </c>
      <c r="G104" s="232" t="s">
        <v>82</v>
      </c>
      <c r="H104" s="69">
        <v>82111801</v>
      </c>
      <c r="I104" s="20" t="s">
        <v>83</v>
      </c>
      <c r="J104" s="36" t="s">
        <v>51</v>
      </c>
      <c r="K104" s="33">
        <v>10</v>
      </c>
      <c r="L104" s="28" t="s">
        <v>61</v>
      </c>
      <c r="M104" s="208">
        <v>25150000</v>
      </c>
      <c r="N104" s="230"/>
      <c r="O104" s="210">
        <f>+M104+N104</f>
        <v>25150000</v>
      </c>
    </row>
    <row r="105" spans="1:15" ht="55.5" customHeight="1" x14ac:dyDescent="0.25">
      <c r="A105" s="906"/>
      <c r="B105" s="909"/>
      <c r="C105" s="913"/>
      <c r="D105" s="844"/>
      <c r="E105" s="844"/>
      <c r="F105" s="1136"/>
      <c r="G105" s="232" t="s">
        <v>202</v>
      </c>
      <c r="H105" s="69">
        <v>82111801</v>
      </c>
      <c r="I105" s="20" t="s">
        <v>83</v>
      </c>
      <c r="J105" s="36" t="s">
        <v>51</v>
      </c>
      <c r="K105" s="33">
        <v>10</v>
      </c>
      <c r="L105" s="28" t="s">
        <v>61</v>
      </c>
      <c r="M105" s="208">
        <f>18770000-7734262</f>
        <v>11035738</v>
      </c>
      <c r="N105" s="230"/>
      <c r="O105" s="210">
        <f t="shared" ref="O105:O107" si="24">SUM(M105:N105)</f>
        <v>11035738</v>
      </c>
    </row>
    <row r="106" spans="1:15" ht="41.25" customHeight="1" x14ac:dyDescent="0.25">
      <c r="A106" s="906"/>
      <c r="B106" s="909"/>
      <c r="C106" s="913"/>
      <c r="D106" s="844"/>
      <c r="E106" s="844"/>
      <c r="F106" s="1136"/>
      <c r="G106" s="232" t="s">
        <v>240</v>
      </c>
      <c r="H106" s="69">
        <v>82111801</v>
      </c>
      <c r="I106" s="20" t="s">
        <v>83</v>
      </c>
      <c r="J106" s="36" t="s">
        <v>87</v>
      </c>
      <c r="K106" s="33">
        <v>9</v>
      </c>
      <c r="L106" s="28" t="s">
        <v>61</v>
      </c>
      <c r="M106" s="208">
        <v>7734262</v>
      </c>
      <c r="N106" s="230"/>
      <c r="O106" s="210">
        <f t="shared" si="24"/>
        <v>7734262</v>
      </c>
    </row>
    <row r="107" spans="1:15" ht="38.25" customHeight="1" x14ac:dyDescent="0.25">
      <c r="A107" s="906"/>
      <c r="B107" s="909"/>
      <c r="C107" s="913"/>
      <c r="D107" s="844"/>
      <c r="E107" s="844"/>
      <c r="F107" s="1136"/>
      <c r="G107" s="232" t="s">
        <v>84</v>
      </c>
      <c r="H107" s="69">
        <v>82111801</v>
      </c>
      <c r="I107" s="20" t="s">
        <v>83</v>
      </c>
      <c r="J107" s="36" t="s">
        <v>56</v>
      </c>
      <c r="K107" s="33">
        <v>8</v>
      </c>
      <c r="L107" s="28" t="s">
        <v>61</v>
      </c>
      <c r="M107" s="208">
        <v>25560000</v>
      </c>
      <c r="N107" s="230"/>
      <c r="O107" s="210">
        <f t="shared" si="24"/>
        <v>25560000</v>
      </c>
    </row>
    <row r="108" spans="1:15" ht="63.75" customHeight="1" x14ac:dyDescent="0.25">
      <c r="A108" s="906"/>
      <c r="B108" s="909"/>
      <c r="C108" s="913"/>
      <c r="D108" s="844"/>
      <c r="E108" s="844"/>
      <c r="F108" s="1136"/>
      <c r="G108" s="233" t="s">
        <v>280</v>
      </c>
      <c r="H108" s="69">
        <v>82111801</v>
      </c>
      <c r="I108" s="20" t="s">
        <v>83</v>
      </c>
      <c r="J108" s="118" t="s">
        <v>56</v>
      </c>
      <c r="K108" s="33">
        <v>9</v>
      </c>
      <c r="L108" s="28" t="s">
        <v>105</v>
      </c>
      <c r="M108" s="208">
        <v>26155250</v>
      </c>
      <c r="N108" s="230"/>
      <c r="O108" s="210">
        <f>+M108+N108</f>
        <v>26155250</v>
      </c>
    </row>
    <row r="109" spans="1:15" ht="24" customHeight="1" x14ac:dyDescent="0.25">
      <c r="A109" s="906"/>
      <c r="B109" s="909"/>
      <c r="C109" s="913"/>
      <c r="D109" s="844"/>
      <c r="E109" s="844"/>
      <c r="F109" s="1137"/>
      <c r="G109" s="63" t="s">
        <v>395</v>
      </c>
      <c r="H109" s="69"/>
      <c r="I109" s="20"/>
      <c r="J109" s="118"/>
      <c r="K109" s="33"/>
      <c r="L109" s="28"/>
      <c r="M109" s="208">
        <v>3844750</v>
      </c>
      <c r="N109" s="230"/>
      <c r="O109" s="210">
        <v>3844750</v>
      </c>
    </row>
    <row r="110" spans="1:15" ht="24.75" customHeight="1" x14ac:dyDescent="0.25">
      <c r="A110" s="906"/>
      <c r="B110" s="909"/>
      <c r="C110" s="913"/>
      <c r="D110" s="844"/>
      <c r="E110" s="844"/>
      <c r="F110" s="827" t="s">
        <v>94</v>
      </c>
      <c r="G110" s="827"/>
      <c r="H110" s="827"/>
      <c r="I110" s="827"/>
      <c r="J110" s="827"/>
      <c r="K110" s="827"/>
      <c r="L110" s="827"/>
      <c r="M110" s="223">
        <f>SUM(M104:M109)</f>
        <v>99480000</v>
      </c>
      <c r="N110" s="223">
        <f>SUM(N104:N109)</f>
        <v>0</v>
      </c>
      <c r="O110" s="223">
        <f>SUM(O104:O109)</f>
        <v>99480000</v>
      </c>
    </row>
    <row r="111" spans="1:15" ht="27" customHeight="1" x14ac:dyDescent="0.25">
      <c r="A111" s="909" t="str">
        <f>+A104</f>
        <v>113 Bogotá reconoce a sus maestras, maestros y directivos docentes.</v>
      </c>
      <c r="B111" s="909" t="str">
        <f t="shared" ref="B111:E111" si="25">+B104</f>
        <v>Codigo 386 
Tres centros de Innovación que dinamizan las Estrategias y procesos en la Red de Innovación del Maestro</v>
      </c>
      <c r="C111" s="909" t="str">
        <f t="shared" si="25"/>
        <v>Componente N° 2: Estategia de Cualificación investigación e innovación docente: Comunidades de saber y de práctica pedagógica</v>
      </c>
      <c r="D111" s="909" t="str">
        <f t="shared" si="25"/>
        <v xml:space="preserve">Desarrollar una  (1) estrategia de comunicación, socialización y divulgación de la cualificación, investigación e innovación docente: Comunidades de saber y de práctica </v>
      </c>
      <c r="E111" s="909" t="str">
        <f t="shared" si="25"/>
        <v xml:space="preserve">Desarrollar una  (1) estrategia de comunicación, socialización y divulgación de la cualificación, investigación e innovación docente: Comunidades de saber y de práctica </v>
      </c>
      <c r="F111" s="1135" t="s">
        <v>113</v>
      </c>
      <c r="G111" s="232" t="s">
        <v>85</v>
      </c>
      <c r="H111" s="69">
        <v>82141504</v>
      </c>
      <c r="I111" s="20" t="s">
        <v>121</v>
      </c>
      <c r="J111" s="36" t="s">
        <v>51</v>
      </c>
      <c r="K111" s="33">
        <v>10</v>
      </c>
      <c r="L111" s="28" t="s">
        <v>61</v>
      </c>
      <c r="M111" s="230">
        <v>27383073</v>
      </c>
      <c r="N111" s="230"/>
      <c r="O111" s="210">
        <f t="shared" ref="O111:O115" si="26">SUM(M111:N111)</f>
        <v>27383073</v>
      </c>
    </row>
    <row r="112" spans="1:15" ht="28.5" x14ac:dyDescent="0.25">
      <c r="A112" s="909"/>
      <c r="B112" s="909"/>
      <c r="C112" s="909"/>
      <c r="D112" s="909"/>
      <c r="E112" s="909"/>
      <c r="F112" s="1136"/>
      <c r="G112" s="232" t="s">
        <v>45</v>
      </c>
      <c r="H112" s="69">
        <v>80111621</v>
      </c>
      <c r="I112" s="20" t="s">
        <v>86</v>
      </c>
      <c r="J112" s="36" t="s">
        <v>87</v>
      </c>
      <c r="K112" s="33">
        <v>10</v>
      </c>
      <c r="L112" s="28" t="s">
        <v>61</v>
      </c>
      <c r="M112" s="230">
        <v>35495989</v>
      </c>
      <c r="N112" s="230"/>
      <c r="O112" s="210">
        <f t="shared" si="26"/>
        <v>35495989</v>
      </c>
    </row>
    <row r="113" spans="1:15" ht="42.75" x14ac:dyDescent="0.25">
      <c r="A113" s="909"/>
      <c r="B113" s="909"/>
      <c r="C113" s="909"/>
      <c r="D113" s="909"/>
      <c r="E113" s="909"/>
      <c r="F113" s="1136"/>
      <c r="G113" s="232" t="s">
        <v>281</v>
      </c>
      <c r="H113" s="69">
        <v>80111621</v>
      </c>
      <c r="I113" s="20" t="s">
        <v>86</v>
      </c>
      <c r="J113" s="38" t="s">
        <v>87</v>
      </c>
      <c r="K113" s="19">
        <v>10</v>
      </c>
      <c r="L113" s="28" t="s">
        <v>61</v>
      </c>
      <c r="M113" s="230">
        <f>39307350-35495989</f>
        <v>3811361</v>
      </c>
      <c r="N113" s="230"/>
      <c r="O113" s="210">
        <f>+M113+N113</f>
        <v>3811361</v>
      </c>
    </row>
    <row r="114" spans="1:15" ht="58.5" customHeight="1" x14ac:dyDescent="0.25">
      <c r="A114" s="909"/>
      <c r="B114" s="909"/>
      <c r="C114" s="909"/>
      <c r="D114" s="909"/>
      <c r="E114" s="909"/>
      <c r="F114" s="1136"/>
      <c r="G114" s="238" t="s">
        <v>330</v>
      </c>
      <c r="H114" s="20">
        <v>80111601</v>
      </c>
      <c r="I114" s="20" t="s">
        <v>121</v>
      </c>
      <c r="J114" s="33" t="s">
        <v>324</v>
      </c>
      <c r="K114" s="33">
        <v>8</v>
      </c>
      <c r="L114" s="28" t="s">
        <v>61</v>
      </c>
      <c r="M114" s="230">
        <f>81599902</f>
        <v>81599902</v>
      </c>
      <c r="N114" s="230"/>
      <c r="O114" s="210">
        <f>+M114+N114</f>
        <v>81599902</v>
      </c>
    </row>
    <row r="115" spans="1:15" ht="28.5" x14ac:dyDescent="0.25">
      <c r="A115" s="909"/>
      <c r="B115" s="909"/>
      <c r="C115" s="909"/>
      <c r="D115" s="909"/>
      <c r="E115" s="909"/>
      <c r="F115" s="1136"/>
      <c r="G115" s="239" t="s">
        <v>242</v>
      </c>
      <c r="H115" s="69">
        <v>81112103</v>
      </c>
      <c r="I115" s="20" t="s">
        <v>121</v>
      </c>
      <c r="J115" s="36" t="s">
        <v>87</v>
      </c>
      <c r="K115" s="33">
        <v>10</v>
      </c>
      <c r="L115" s="28" t="s">
        <v>61</v>
      </c>
      <c r="M115" s="230">
        <v>18918013</v>
      </c>
      <c r="N115" s="230"/>
      <c r="O115" s="210">
        <f t="shared" si="26"/>
        <v>18918013</v>
      </c>
    </row>
    <row r="116" spans="1:15" ht="57" x14ac:dyDescent="0.25">
      <c r="A116" s="909"/>
      <c r="B116" s="909"/>
      <c r="C116" s="909"/>
      <c r="D116" s="909"/>
      <c r="E116" s="909"/>
      <c r="F116" s="1136"/>
      <c r="G116" s="232" t="s">
        <v>251</v>
      </c>
      <c r="H116" s="69">
        <v>80111621</v>
      </c>
      <c r="I116" s="20" t="s">
        <v>121</v>
      </c>
      <c r="J116" s="36" t="s">
        <v>51</v>
      </c>
      <c r="K116" s="33">
        <v>10</v>
      </c>
      <c r="L116" s="28" t="s">
        <v>61</v>
      </c>
      <c r="M116" s="230">
        <f>167094477</f>
        <v>167094477</v>
      </c>
      <c r="N116" s="230"/>
      <c r="O116" s="210">
        <f>+M116+N116</f>
        <v>167094477</v>
      </c>
    </row>
    <row r="117" spans="1:15" ht="31.5" customHeight="1" x14ac:dyDescent="0.25">
      <c r="A117" s="909"/>
      <c r="B117" s="909"/>
      <c r="C117" s="909"/>
      <c r="D117" s="909"/>
      <c r="E117" s="909"/>
      <c r="F117" s="1137"/>
      <c r="G117" s="233" t="s">
        <v>207</v>
      </c>
      <c r="H117" s="20">
        <v>80111621</v>
      </c>
      <c r="I117" s="20" t="s">
        <v>83</v>
      </c>
      <c r="J117" s="36" t="s">
        <v>87</v>
      </c>
      <c r="K117" s="33">
        <v>2</v>
      </c>
      <c r="L117" s="28" t="s">
        <v>61</v>
      </c>
      <c r="M117" s="230">
        <f>12115538-112000</f>
        <v>12003538</v>
      </c>
      <c r="N117" s="230"/>
      <c r="O117" s="210">
        <f>+M117+N117</f>
        <v>12003538</v>
      </c>
    </row>
    <row r="118" spans="1:15" x14ac:dyDescent="0.25">
      <c r="A118" s="909"/>
      <c r="B118" s="909"/>
      <c r="C118" s="909"/>
      <c r="D118" s="909"/>
      <c r="E118" s="909"/>
      <c r="F118" s="1064" t="s">
        <v>94</v>
      </c>
      <c r="G118" s="1064"/>
      <c r="H118" s="1064"/>
      <c r="I118" s="1064"/>
      <c r="J118" s="1064"/>
      <c r="K118" s="1064"/>
      <c r="L118" s="1064"/>
      <c r="M118" s="223">
        <f>SUM(M111:M117)</f>
        <v>346306353</v>
      </c>
      <c r="N118" s="223">
        <f>SUM(N111:N117)</f>
        <v>0</v>
      </c>
      <c r="O118" s="223">
        <f>SUM(O111:O117)</f>
        <v>346306353</v>
      </c>
    </row>
    <row r="119" spans="1:15" ht="56.25" customHeight="1" x14ac:dyDescent="0.25">
      <c r="A119" s="909"/>
      <c r="B119" s="909"/>
      <c r="C119" s="909"/>
      <c r="D119" s="909"/>
      <c r="E119" s="909"/>
      <c r="F119" s="206" t="s">
        <v>221</v>
      </c>
      <c r="G119" s="235" t="s">
        <v>88</v>
      </c>
      <c r="H119" s="20">
        <v>80111621</v>
      </c>
      <c r="I119" s="20" t="s">
        <v>83</v>
      </c>
      <c r="J119" s="38" t="s">
        <v>87</v>
      </c>
      <c r="K119" s="19">
        <v>6</v>
      </c>
      <c r="L119" s="28" t="s">
        <v>61</v>
      </c>
      <c r="M119" s="230">
        <f>52248000-247380</f>
        <v>52000620</v>
      </c>
      <c r="N119" s="230"/>
      <c r="O119" s="210">
        <f t="shared" ref="O119" si="27">SUM(M119:N119)</f>
        <v>52000620</v>
      </c>
    </row>
    <row r="120" spans="1:15" x14ac:dyDescent="0.25">
      <c r="A120" s="909"/>
      <c r="B120" s="909"/>
      <c r="C120" s="909"/>
      <c r="D120" s="909"/>
      <c r="E120" s="909"/>
      <c r="F120" s="1064" t="s">
        <v>94</v>
      </c>
      <c r="G120" s="1064"/>
      <c r="H120" s="1064"/>
      <c r="I120" s="1064"/>
      <c r="J120" s="1064"/>
      <c r="K120" s="1064"/>
      <c r="L120" s="1064"/>
      <c r="M120" s="223">
        <f>+M119</f>
        <v>52000620</v>
      </c>
      <c r="N120" s="223">
        <f t="shared" ref="N120:O120" si="28">+N119</f>
        <v>0</v>
      </c>
      <c r="O120" s="223">
        <f t="shared" si="28"/>
        <v>52000620</v>
      </c>
    </row>
    <row r="121" spans="1:15" ht="42.75" x14ac:dyDescent="0.25">
      <c r="A121" s="909"/>
      <c r="B121" s="909"/>
      <c r="C121" s="909"/>
      <c r="D121" s="909"/>
      <c r="E121" s="909"/>
      <c r="F121" s="206" t="s">
        <v>114</v>
      </c>
      <c r="G121" s="240" t="s">
        <v>330</v>
      </c>
      <c r="H121" s="64" t="s">
        <v>133</v>
      </c>
      <c r="I121" s="32" t="s">
        <v>121</v>
      </c>
      <c r="J121" s="38" t="s">
        <v>56</v>
      </c>
      <c r="K121" s="19">
        <v>1</v>
      </c>
      <c r="L121" s="28" t="s">
        <v>61</v>
      </c>
      <c r="M121" s="230">
        <v>2213027</v>
      </c>
      <c r="N121" s="230"/>
      <c r="O121" s="210">
        <f>+M121+N121</f>
        <v>2213027</v>
      </c>
    </row>
    <row r="122" spans="1:15" x14ac:dyDescent="0.25">
      <c r="A122" s="909"/>
      <c r="B122" s="909"/>
      <c r="C122" s="909"/>
      <c r="D122" s="909"/>
      <c r="E122" s="909"/>
      <c r="F122" s="1064" t="s">
        <v>94</v>
      </c>
      <c r="G122" s="1064"/>
      <c r="H122" s="1064"/>
      <c r="I122" s="1064"/>
      <c r="J122" s="1064"/>
      <c r="K122" s="1064"/>
      <c r="L122" s="1064"/>
      <c r="M122" s="223">
        <f>+M121</f>
        <v>2213027</v>
      </c>
      <c r="N122" s="223">
        <f>+N121</f>
        <v>0</v>
      </c>
      <c r="O122" s="223">
        <f>+M122+N122</f>
        <v>2213027</v>
      </c>
    </row>
    <row r="123" spans="1:15" ht="42.75" x14ac:dyDescent="0.25">
      <c r="A123" s="909"/>
      <c r="B123" s="909"/>
      <c r="C123" s="909"/>
      <c r="D123" s="909"/>
      <c r="E123" s="909"/>
      <c r="F123" s="870" t="s">
        <v>356</v>
      </c>
      <c r="G123" s="201" t="s">
        <v>357</v>
      </c>
      <c r="H123" s="69">
        <v>80111621</v>
      </c>
      <c r="I123" s="20" t="s">
        <v>122</v>
      </c>
      <c r="J123" s="72" t="s">
        <v>63</v>
      </c>
      <c r="K123" s="92">
        <v>8</v>
      </c>
      <c r="L123" s="93" t="s">
        <v>61</v>
      </c>
      <c r="M123" s="236"/>
      <c r="N123" s="227">
        <v>36682979</v>
      </c>
      <c r="O123" s="230">
        <f>+M123+N123</f>
        <v>36682979</v>
      </c>
    </row>
    <row r="124" spans="1:15" ht="49.5" customHeight="1" x14ac:dyDescent="0.25">
      <c r="A124" s="909"/>
      <c r="B124" s="909"/>
      <c r="C124" s="909"/>
      <c r="D124" s="909"/>
      <c r="E124" s="909"/>
      <c r="F124" s="1047"/>
      <c r="G124" s="201" t="s">
        <v>491</v>
      </c>
      <c r="H124" s="69">
        <v>80111621</v>
      </c>
      <c r="I124" s="20" t="s">
        <v>122</v>
      </c>
      <c r="J124" s="72" t="s">
        <v>325</v>
      </c>
      <c r="K124" s="92">
        <v>5</v>
      </c>
      <c r="L124" s="93" t="s">
        <v>492</v>
      </c>
      <c r="M124" s="236"/>
      <c r="N124" s="227">
        <f>29787298+1881176</f>
        <v>31668474</v>
      </c>
      <c r="O124" s="230">
        <f t="shared" ref="O124:O129" si="29">+M124+N124</f>
        <v>31668474</v>
      </c>
    </row>
    <row r="125" spans="1:15" ht="47.25" customHeight="1" x14ac:dyDescent="0.25">
      <c r="A125" s="909"/>
      <c r="B125" s="909"/>
      <c r="C125" s="909"/>
      <c r="D125" s="909"/>
      <c r="E125" s="909"/>
      <c r="F125" s="1047"/>
      <c r="G125" s="201" t="s">
        <v>358</v>
      </c>
      <c r="H125" s="69">
        <v>80111621</v>
      </c>
      <c r="I125" s="20" t="s">
        <v>93</v>
      </c>
      <c r="J125" s="72" t="s">
        <v>56</v>
      </c>
      <c r="K125" s="92">
        <v>7</v>
      </c>
      <c r="L125" s="93" t="s">
        <v>61</v>
      </c>
      <c r="M125" s="236"/>
      <c r="N125" s="227">
        <f>62523468-62523468</f>
        <v>0</v>
      </c>
      <c r="O125" s="230">
        <f t="shared" si="29"/>
        <v>0</v>
      </c>
    </row>
    <row r="126" spans="1:15" ht="42.75" x14ac:dyDescent="0.25">
      <c r="A126" s="909"/>
      <c r="B126" s="909"/>
      <c r="C126" s="909"/>
      <c r="D126" s="909"/>
      <c r="E126" s="909"/>
      <c r="F126" s="1047"/>
      <c r="G126" s="201" t="s">
        <v>389</v>
      </c>
      <c r="H126" s="69">
        <v>80111621</v>
      </c>
      <c r="I126" s="20" t="s">
        <v>93</v>
      </c>
      <c r="J126" s="72" t="s">
        <v>118</v>
      </c>
      <c r="K126" s="92">
        <v>5</v>
      </c>
      <c r="L126" s="93" t="s">
        <v>61</v>
      </c>
      <c r="M126" s="236"/>
      <c r="N126" s="227">
        <v>278334000</v>
      </c>
      <c r="O126" s="230">
        <f t="shared" si="29"/>
        <v>278334000</v>
      </c>
    </row>
    <row r="127" spans="1:15" ht="56.25" customHeight="1" x14ac:dyDescent="0.25">
      <c r="A127" s="909"/>
      <c r="B127" s="909"/>
      <c r="C127" s="909"/>
      <c r="D127" s="909"/>
      <c r="E127" s="909"/>
      <c r="F127" s="1047"/>
      <c r="G127" s="201" t="s">
        <v>351</v>
      </c>
      <c r="H127" s="69">
        <v>80111621</v>
      </c>
      <c r="I127" s="20" t="s">
        <v>122</v>
      </c>
      <c r="J127" s="72" t="s">
        <v>56</v>
      </c>
      <c r="K127" s="92">
        <v>7</v>
      </c>
      <c r="L127" s="93" t="s">
        <v>61</v>
      </c>
      <c r="M127" s="236"/>
      <c r="N127" s="227">
        <f>400000000-30000000+62523468</f>
        <v>432523468</v>
      </c>
      <c r="O127" s="230">
        <f t="shared" si="29"/>
        <v>432523468</v>
      </c>
    </row>
    <row r="128" spans="1:15" ht="39" customHeight="1" x14ac:dyDescent="0.25">
      <c r="A128" s="909"/>
      <c r="B128" s="909"/>
      <c r="C128" s="909"/>
      <c r="D128" s="909"/>
      <c r="E128" s="909"/>
      <c r="F128" s="1047"/>
      <c r="G128" s="201" t="s">
        <v>359</v>
      </c>
      <c r="H128" s="69">
        <v>80111621</v>
      </c>
      <c r="I128" s="20" t="s">
        <v>122</v>
      </c>
      <c r="J128" s="72" t="s">
        <v>63</v>
      </c>
      <c r="K128" s="92">
        <v>8</v>
      </c>
      <c r="L128" s="93" t="s">
        <v>61</v>
      </c>
      <c r="M128" s="236"/>
      <c r="N128" s="227">
        <v>36682979</v>
      </c>
      <c r="O128" s="230">
        <f t="shared" si="29"/>
        <v>36682979</v>
      </c>
    </row>
    <row r="129" spans="1:17" ht="31.5" customHeight="1" x14ac:dyDescent="0.25">
      <c r="A129" s="909"/>
      <c r="B129" s="909"/>
      <c r="C129" s="909"/>
      <c r="D129" s="909"/>
      <c r="E129" s="909"/>
      <c r="F129" s="871"/>
      <c r="G129" s="201" t="s">
        <v>409</v>
      </c>
      <c r="H129" s="69">
        <v>80111621</v>
      </c>
      <c r="I129" s="20" t="s">
        <v>122</v>
      </c>
      <c r="J129" s="72" t="s">
        <v>63</v>
      </c>
      <c r="K129" s="92">
        <v>1</v>
      </c>
      <c r="L129" s="93" t="s">
        <v>61</v>
      </c>
      <c r="M129" s="236"/>
      <c r="N129" s="227">
        <v>30000000</v>
      </c>
      <c r="O129" s="230">
        <f t="shared" si="29"/>
        <v>30000000</v>
      </c>
    </row>
    <row r="130" spans="1:17" x14ac:dyDescent="0.25">
      <c r="A130" s="909"/>
      <c r="B130" s="909"/>
      <c r="C130" s="909"/>
      <c r="D130" s="909"/>
      <c r="E130" s="909"/>
      <c r="F130" s="827" t="s">
        <v>94</v>
      </c>
      <c r="G130" s="827"/>
      <c r="H130" s="827"/>
      <c r="I130" s="827"/>
      <c r="J130" s="827"/>
      <c r="K130" s="827"/>
      <c r="L130" s="827"/>
      <c r="M130" s="223">
        <f>+M123+M124+M125+M126+M127+M128</f>
        <v>0</v>
      </c>
      <c r="N130" s="223">
        <f>+N123+N124+N125+N126+N127+N128+N129</f>
        <v>845891900</v>
      </c>
      <c r="O130" s="223">
        <f>+O123+O124+O125+O126+O127+O128+O129</f>
        <v>845891900</v>
      </c>
    </row>
    <row r="131" spans="1:17" x14ac:dyDescent="0.25">
      <c r="A131" s="911"/>
      <c r="B131" s="911"/>
      <c r="C131" s="911"/>
      <c r="D131" s="911"/>
      <c r="E131" s="911"/>
      <c r="F131" s="836" t="s">
        <v>17</v>
      </c>
      <c r="G131" s="836"/>
      <c r="H131" s="836"/>
      <c r="I131" s="836"/>
      <c r="J131" s="836"/>
      <c r="K131" s="836"/>
      <c r="L131" s="836"/>
      <c r="M131" s="216">
        <f>+M110+M118+M120+M122+M130</f>
        <v>500000000</v>
      </c>
      <c r="N131" s="216">
        <f t="shared" ref="N131:O131" si="30">+N110+N118+N120+N122+N130</f>
        <v>845891900</v>
      </c>
      <c r="O131" s="216">
        <f t="shared" si="30"/>
        <v>1345891900</v>
      </c>
    </row>
    <row r="132" spans="1:17" x14ac:dyDescent="0.25">
      <c r="A132" s="835" t="s">
        <v>35</v>
      </c>
      <c r="B132" s="835"/>
      <c r="C132" s="835"/>
      <c r="D132" s="835"/>
      <c r="E132" s="835"/>
      <c r="F132" s="835"/>
      <c r="G132" s="835"/>
      <c r="H132" s="835"/>
      <c r="I132" s="835"/>
      <c r="J132" s="835"/>
      <c r="K132" s="835"/>
      <c r="L132" s="835"/>
      <c r="M132" s="237">
        <f>+M72+M89+M103+M131</f>
        <v>1436000000</v>
      </c>
      <c r="N132" s="237">
        <f>+N72+N89+N103+N131</f>
        <v>2095891900</v>
      </c>
      <c r="O132" s="237">
        <f>+O72+O89+O103+O131</f>
        <v>3531891900</v>
      </c>
    </row>
    <row r="133" spans="1:17" ht="15.75" x14ac:dyDescent="0.25">
      <c r="A133" s="1057" t="s">
        <v>18</v>
      </c>
      <c r="B133" s="1057"/>
      <c r="C133" s="1057"/>
      <c r="D133" s="1057"/>
      <c r="E133" s="1057"/>
      <c r="F133" s="1057"/>
      <c r="G133" s="1057"/>
      <c r="H133" s="1057"/>
      <c r="I133" s="1057"/>
      <c r="J133" s="1057"/>
      <c r="K133" s="1057"/>
      <c r="L133" s="1057"/>
      <c r="M133" s="236">
        <f>+M69+M132</f>
        <v>2772000000</v>
      </c>
      <c r="N133" s="236">
        <f>+N69+N132</f>
        <v>2693891900</v>
      </c>
      <c r="O133" s="236" t="e">
        <f>+O69+O132</f>
        <v>#VALUE!</v>
      </c>
    </row>
    <row r="134" spans="1:17" ht="24.75" customHeight="1" x14ac:dyDescent="0.25">
      <c r="A134" s="1058" t="s">
        <v>14</v>
      </c>
      <c r="B134" s="1059"/>
      <c r="C134" s="1059"/>
      <c r="D134" s="1060"/>
      <c r="E134" s="1061" t="s">
        <v>171</v>
      </c>
      <c r="F134" s="1062"/>
      <c r="G134" s="1062"/>
      <c r="H134" s="1062"/>
      <c r="I134" s="1062"/>
      <c r="J134" s="1062"/>
      <c r="K134" s="1062"/>
      <c r="L134" s="1062"/>
      <c r="M134" s="1062"/>
      <c r="N134" s="1062"/>
      <c r="O134" s="1063"/>
    </row>
    <row r="135" spans="1:17" ht="22.5" customHeight="1" x14ac:dyDescent="0.25">
      <c r="A135" s="1054" t="s">
        <v>175</v>
      </c>
      <c r="B135" s="1055"/>
      <c r="C135" s="1055"/>
      <c r="D135" s="1056"/>
      <c r="E135" s="1051" t="s">
        <v>172</v>
      </c>
      <c r="F135" s="1052"/>
      <c r="G135" s="1052"/>
      <c r="H135" s="1052"/>
      <c r="I135" s="1052"/>
      <c r="J135" s="1052"/>
      <c r="K135" s="1052"/>
      <c r="L135" s="1052"/>
      <c r="M135" s="1052"/>
      <c r="N135" s="1052"/>
      <c r="O135" s="1053"/>
    </row>
    <row r="136" spans="1:17" ht="29.25" customHeight="1" x14ac:dyDescent="0.25">
      <c r="A136" s="1054" t="s">
        <v>176</v>
      </c>
      <c r="B136" s="1055"/>
      <c r="C136" s="1055"/>
      <c r="D136" s="1056"/>
      <c r="E136" s="1051" t="s">
        <v>173</v>
      </c>
      <c r="F136" s="1052"/>
      <c r="G136" s="1052"/>
      <c r="H136" s="1052"/>
      <c r="I136" s="1052"/>
      <c r="J136" s="1052"/>
      <c r="K136" s="1052"/>
      <c r="L136" s="1052"/>
      <c r="M136" s="1052"/>
      <c r="N136" s="1052"/>
      <c r="O136" s="1053"/>
    </row>
    <row r="137" spans="1:17" ht="45" customHeight="1" x14ac:dyDescent="0.25">
      <c r="A137" s="1054" t="s">
        <v>177</v>
      </c>
      <c r="B137" s="1055"/>
      <c r="C137" s="1055"/>
      <c r="D137" s="1056"/>
      <c r="E137" s="1051" t="s">
        <v>174</v>
      </c>
      <c r="F137" s="1052"/>
      <c r="G137" s="1052"/>
      <c r="H137" s="1052"/>
      <c r="I137" s="1052"/>
      <c r="J137" s="1052"/>
      <c r="K137" s="1052"/>
      <c r="L137" s="1052"/>
      <c r="M137" s="1052"/>
      <c r="N137" s="1052"/>
      <c r="O137" s="1053"/>
      <c r="Q137" s="187"/>
    </row>
    <row r="138" spans="1:17" ht="78.75" customHeight="1" x14ac:dyDescent="0.25">
      <c r="A138" s="1147" t="s">
        <v>155</v>
      </c>
      <c r="B138" s="1147" t="s">
        <v>156</v>
      </c>
      <c r="C138" s="1147" t="s">
        <v>157</v>
      </c>
      <c r="D138" s="1147" t="s">
        <v>158</v>
      </c>
      <c r="E138" s="1147" t="s">
        <v>159</v>
      </c>
      <c r="F138" s="1147" t="s">
        <v>0</v>
      </c>
      <c r="G138" s="1133" t="s">
        <v>6</v>
      </c>
      <c r="H138" s="1133" t="s">
        <v>7</v>
      </c>
      <c r="I138" s="1142" t="s">
        <v>8</v>
      </c>
      <c r="J138" s="1144" t="s">
        <v>9</v>
      </c>
      <c r="K138" s="1145"/>
      <c r="L138" s="1146"/>
      <c r="M138" s="1124" t="s">
        <v>1</v>
      </c>
      <c r="N138" s="1126" t="s">
        <v>2</v>
      </c>
      <c r="O138" s="1128" t="s">
        <v>3</v>
      </c>
    </row>
    <row r="139" spans="1:17" ht="42.75" customHeight="1" x14ac:dyDescent="0.25">
      <c r="A139" s="1148"/>
      <c r="B139" s="1148"/>
      <c r="C139" s="1148"/>
      <c r="D139" s="1148"/>
      <c r="E139" s="1148"/>
      <c r="F139" s="1148"/>
      <c r="G139" s="1134"/>
      <c r="H139" s="1134"/>
      <c r="I139" s="1143"/>
      <c r="J139" s="193" t="s">
        <v>10</v>
      </c>
      <c r="K139" s="193" t="s">
        <v>11</v>
      </c>
      <c r="L139" s="193" t="s">
        <v>12</v>
      </c>
      <c r="M139" s="1125"/>
      <c r="N139" s="1127"/>
      <c r="O139" s="1129"/>
    </row>
    <row r="140" spans="1:17" ht="93.75" customHeight="1" x14ac:dyDescent="0.25">
      <c r="A140" s="1138" t="str">
        <f>+E137</f>
        <v>184 Fortalecimiento de la gestión educativa institucional</v>
      </c>
      <c r="B140" s="1139" t="s">
        <v>149</v>
      </c>
      <c r="C140" s="1130" t="s">
        <v>233</v>
      </c>
      <c r="D140" s="1131" t="s">
        <v>153</v>
      </c>
      <c r="E140" s="1117" t="s">
        <v>20</v>
      </c>
      <c r="F140" s="1048" t="s">
        <v>154</v>
      </c>
      <c r="G140" s="241" t="s">
        <v>269</v>
      </c>
      <c r="H140" s="69">
        <v>80111600</v>
      </c>
      <c r="I140" s="39" t="s">
        <v>182</v>
      </c>
      <c r="J140" s="40" t="s">
        <v>87</v>
      </c>
      <c r="K140" s="41">
        <v>10</v>
      </c>
      <c r="L140" s="42" t="s">
        <v>61</v>
      </c>
      <c r="M140" s="242">
        <f>47159790-2159790-750000</f>
        <v>44250000</v>
      </c>
      <c r="N140" s="243"/>
      <c r="O140" s="243">
        <f>SUM(M140:N140)</f>
        <v>44250000</v>
      </c>
    </row>
    <row r="141" spans="1:17" ht="58.5" customHeight="1" x14ac:dyDescent="0.25">
      <c r="A141" s="1138"/>
      <c r="B141" s="1140"/>
      <c r="C141" s="1130"/>
      <c r="D141" s="1131"/>
      <c r="E141" s="1117"/>
      <c r="F141" s="1049"/>
      <c r="G141" s="241" t="s">
        <v>270</v>
      </c>
      <c r="H141" s="69">
        <v>80111600</v>
      </c>
      <c r="I141" s="39" t="s">
        <v>182</v>
      </c>
      <c r="J141" s="40" t="s">
        <v>87</v>
      </c>
      <c r="K141" s="41">
        <v>10</v>
      </c>
      <c r="L141" s="42" t="s">
        <v>61</v>
      </c>
      <c r="M141" s="242">
        <v>43200000</v>
      </c>
      <c r="N141" s="243"/>
      <c r="O141" s="243">
        <f t="shared" ref="O141:O149" si="31">SUM(M141:N141)</f>
        <v>43200000</v>
      </c>
    </row>
    <row r="142" spans="1:17" ht="72" customHeight="1" x14ac:dyDescent="0.25">
      <c r="A142" s="1138"/>
      <c r="B142" s="1140"/>
      <c r="C142" s="1130"/>
      <c r="D142" s="1131"/>
      <c r="E142" s="1117"/>
      <c r="F142" s="1049"/>
      <c r="G142" s="241" t="s">
        <v>283</v>
      </c>
      <c r="H142" s="69">
        <v>80111600</v>
      </c>
      <c r="I142" s="39" t="s">
        <v>182</v>
      </c>
      <c r="J142" s="40" t="s">
        <v>87</v>
      </c>
      <c r="K142" s="41">
        <v>10</v>
      </c>
      <c r="L142" s="42" t="s">
        <v>61</v>
      </c>
      <c r="M142" s="242">
        <v>37601667</v>
      </c>
      <c r="N142" s="243"/>
      <c r="O142" s="243">
        <f t="shared" si="31"/>
        <v>37601667</v>
      </c>
    </row>
    <row r="143" spans="1:17" ht="60.75" customHeight="1" x14ac:dyDescent="0.25">
      <c r="A143" s="1138"/>
      <c r="B143" s="1140"/>
      <c r="C143" s="1130"/>
      <c r="D143" s="1131"/>
      <c r="E143" s="1117"/>
      <c r="F143" s="1049"/>
      <c r="G143" s="241" t="s">
        <v>101</v>
      </c>
      <c r="H143" s="69">
        <v>80111600</v>
      </c>
      <c r="I143" s="39" t="s">
        <v>96</v>
      </c>
      <c r="J143" s="43" t="s">
        <v>87</v>
      </c>
      <c r="K143" s="44">
        <v>10</v>
      </c>
      <c r="L143" s="42" t="s">
        <v>61</v>
      </c>
      <c r="M143" s="242">
        <v>70324410</v>
      </c>
      <c r="N143" s="243"/>
      <c r="O143" s="243">
        <f t="shared" si="31"/>
        <v>70324410</v>
      </c>
    </row>
    <row r="144" spans="1:17" ht="52.5" customHeight="1" x14ac:dyDescent="0.25">
      <c r="A144" s="1138"/>
      <c r="B144" s="1140"/>
      <c r="C144" s="1130"/>
      <c r="D144" s="1131"/>
      <c r="E144" s="1117"/>
      <c r="F144" s="1049"/>
      <c r="G144" s="241" t="s">
        <v>46</v>
      </c>
      <c r="H144" s="69">
        <v>80111600</v>
      </c>
      <c r="I144" s="39" t="s">
        <v>96</v>
      </c>
      <c r="J144" s="43" t="s">
        <v>51</v>
      </c>
      <c r="K144" s="44">
        <v>10</v>
      </c>
      <c r="L144" s="42" t="s">
        <v>61</v>
      </c>
      <c r="M144" s="242">
        <v>31500000</v>
      </c>
      <c r="N144" s="243"/>
      <c r="O144" s="243">
        <f t="shared" si="31"/>
        <v>31500000</v>
      </c>
    </row>
    <row r="145" spans="1:15" ht="92.25" customHeight="1" x14ac:dyDescent="0.25">
      <c r="A145" s="1138"/>
      <c r="B145" s="1140"/>
      <c r="C145" s="1130"/>
      <c r="D145" s="1131"/>
      <c r="E145" s="1117"/>
      <c r="F145" s="1049"/>
      <c r="G145" s="241" t="s">
        <v>317</v>
      </c>
      <c r="H145" s="69">
        <v>80111601</v>
      </c>
      <c r="I145" s="39" t="s">
        <v>182</v>
      </c>
      <c r="J145" s="46" t="s">
        <v>87</v>
      </c>
      <c r="K145" s="44">
        <v>2</v>
      </c>
      <c r="L145" s="42" t="s">
        <v>61</v>
      </c>
      <c r="M145" s="242">
        <v>6000000</v>
      </c>
      <c r="N145" s="243"/>
      <c r="O145" s="243">
        <f>+M145+N145</f>
        <v>6000000</v>
      </c>
    </row>
    <row r="146" spans="1:15" ht="50.25" customHeight="1" x14ac:dyDescent="0.25">
      <c r="A146" s="1138"/>
      <c r="B146" s="1140"/>
      <c r="C146" s="1130"/>
      <c r="D146" s="1131"/>
      <c r="E146" s="1117"/>
      <c r="F146" s="1049"/>
      <c r="G146" s="241" t="s">
        <v>489</v>
      </c>
      <c r="H146" s="69" t="s">
        <v>134</v>
      </c>
      <c r="I146" s="39" t="s">
        <v>182</v>
      </c>
      <c r="J146" s="43" t="s">
        <v>58</v>
      </c>
      <c r="K146" s="44">
        <v>2</v>
      </c>
      <c r="L146" s="28" t="s">
        <v>106</v>
      </c>
      <c r="M146" s="244">
        <f>247386000+4087803+568920+1050000+1315890+7912624</f>
        <v>262321237</v>
      </c>
      <c r="N146" s="245">
        <v>15637000</v>
      </c>
      <c r="O146" s="243">
        <f>SUM(M146:N146)</f>
        <v>277958237</v>
      </c>
    </row>
    <row r="147" spans="1:15" ht="60" customHeight="1" x14ac:dyDescent="0.25">
      <c r="A147" s="1138"/>
      <c r="B147" s="1140"/>
      <c r="C147" s="1130"/>
      <c r="D147" s="1131"/>
      <c r="E147" s="1117"/>
      <c r="F147" s="1049"/>
      <c r="G147" s="241" t="s">
        <v>47</v>
      </c>
      <c r="H147" s="64">
        <v>80111600</v>
      </c>
      <c r="I147" s="39" t="s">
        <v>182</v>
      </c>
      <c r="J147" s="43" t="s">
        <v>87</v>
      </c>
      <c r="K147" s="44">
        <v>10</v>
      </c>
      <c r="L147" s="42" t="s">
        <v>61</v>
      </c>
      <c r="M147" s="246">
        <v>33566280</v>
      </c>
      <c r="N147" s="245"/>
      <c r="O147" s="243">
        <f t="shared" si="31"/>
        <v>33566280</v>
      </c>
    </row>
    <row r="148" spans="1:15" ht="38.25" customHeight="1" x14ac:dyDescent="0.25">
      <c r="A148" s="1138"/>
      <c r="B148" s="1140"/>
      <c r="C148" s="1130"/>
      <c r="D148" s="1131"/>
      <c r="E148" s="1117"/>
      <c r="F148" s="1049"/>
      <c r="G148" s="241" t="s">
        <v>120</v>
      </c>
      <c r="H148" s="64">
        <v>80111600</v>
      </c>
      <c r="I148" s="45" t="s">
        <v>95</v>
      </c>
      <c r="J148" s="43" t="s">
        <v>87</v>
      </c>
      <c r="K148" s="44">
        <v>9</v>
      </c>
      <c r="L148" s="42" t="s">
        <v>61</v>
      </c>
      <c r="M148" s="244">
        <v>19800000</v>
      </c>
      <c r="N148" s="245"/>
      <c r="O148" s="243">
        <f t="shared" si="31"/>
        <v>19800000</v>
      </c>
    </row>
    <row r="149" spans="1:15" ht="75.75" customHeight="1" x14ac:dyDescent="0.25">
      <c r="A149" s="1138"/>
      <c r="B149" s="1140"/>
      <c r="C149" s="1130"/>
      <c r="D149" s="1131"/>
      <c r="E149" s="1117"/>
      <c r="F149" s="1049"/>
      <c r="G149" s="241" t="s">
        <v>271</v>
      </c>
      <c r="H149" s="64">
        <v>80111600</v>
      </c>
      <c r="I149" s="39" t="s">
        <v>182</v>
      </c>
      <c r="J149" s="43" t="s">
        <v>87</v>
      </c>
      <c r="K149" s="44">
        <v>10</v>
      </c>
      <c r="L149" s="42" t="s">
        <v>61</v>
      </c>
      <c r="M149" s="244">
        <f>48270000+1930800+3346720</f>
        <v>53547520</v>
      </c>
      <c r="N149" s="245"/>
      <c r="O149" s="243">
        <f t="shared" si="31"/>
        <v>53547520</v>
      </c>
    </row>
    <row r="150" spans="1:15" ht="32.25" customHeight="1" x14ac:dyDescent="0.25">
      <c r="A150" s="1138"/>
      <c r="B150" s="1141"/>
      <c r="C150" s="1130"/>
      <c r="D150" s="1131"/>
      <c r="E150" s="1117"/>
      <c r="F150" s="1050"/>
      <c r="G150" s="1132" t="s">
        <v>192</v>
      </c>
      <c r="H150" s="1132"/>
      <c r="I150" s="1132"/>
      <c r="J150" s="1132"/>
      <c r="K150" s="1132"/>
      <c r="L150" s="1132"/>
      <c r="M150" s="247">
        <f>SUM(M140:M149)</f>
        <v>602111114</v>
      </c>
      <c r="N150" s="247">
        <f>SUM(N140:N149)</f>
        <v>15637000</v>
      </c>
      <c r="O150" s="247">
        <f>SUM(O140:O149)</f>
        <v>617748114</v>
      </c>
    </row>
    <row r="151" spans="1:15" ht="54" customHeight="1" x14ac:dyDescent="0.25">
      <c r="A151" s="1117" t="str">
        <f>+A140</f>
        <v>184 Fortalecimiento de la gestión educativa institucional</v>
      </c>
      <c r="B151" s="1117" t="str">
        <f>+B140</f>
        <v>Codido 419
Sostener en el 100% la implementación del Sistema Integrado de Gestión</v>
      </c>
      <c r="C151" s="1117" t="str">
        <f>+C140</f>
        <v>Sostenibilidad del   Sistema Integrado de Gestión</v>
      </c>
      <c r="D151" s="1117" t="str">
        <f>+D140</f>
        <v>Sostener 100% la implementación del Sistema Integrado de Gestión</v>
      </c>
      <c r="E151" s="1117" t="str">
        <f>+E140</f>
        <v>Sostenibilidad del Sistema Integrado de Gestión</v>
      </c>
      <c r="F151" s="1048" t="s">
        <v>107</v>
      </c>
      <c r="G151" s="241" t="s">
        <v>48</v>
      </c>
      <c r="H151" s="69">
        <v>80111600</v>
      </c>
      <c r="I151" s="47" t="s">
        <v>95</v>
      </c>
      <c r="J151" s="40" t="s">
        <v>87</v>
      </c>
      <c r="K151" s="41">
        <v>11</v>
      </c>
      <c r="L151" s="42" t="s">
        <v>61</v>
      </c>
      <c r="M151" s="248">
        <f>55200000-15600000-39600000</f>
        <v>0</v>
      </c>
      <c r="N151" s="249"/>
      <c r="O151" s="245">
        <f>SUM(M151:N151)</f>
        <v>0</v>
      </c>
    </row>
    <row r="152" spans="1:15" ht="49.5" customHeight="1" x14ac:dyDescent="0.25">
      <c r="A152" s="1117"/>
      <c r="B152" s="1117"/>
      <c r="C152" s="1117"/>
      <c r="D152" s="1117"/>
      <c r="E152" s="1117"/>
      <c r="F152" s="1049"/>
      <c r="G152" s="241" t="s">
        <v>282</v>
      </c>
      <c r="H152" s="69">
        <v>80111600</v>
      </c>
      <c r="I152" s="47" t="s">
        <v>95</v>
      </c>
      <c r="J152" s="40" t="s">
        <v>87</v>
      </c>
      <c r="K152" s="41">
        <v>11</v>
      </c>
      <c r="L152" s="42" t="s">
        <v>61</v>
      </c>
      <c r="M152" s="248">
        <v>39600000</v>
      </c>
      <c r="N152" s="249"/>
      <c r="O152" s="245">
        <f t="shared" ref="O152:O158" si="32">+M152+N152</f>
        <v>39600000</v>
      </c>
    </row>
    <row r="153" spans="1:15" ht="43.5" customHeight="1" x14ac:dyDescent="0.25">
      <c r="A153" s="1117"/>
      <c r="B153" s="1117"/>
      <c r="C153" s="1117"/>
      <c r="D153" s="1117"/>
      <c r="E153" s="1117"/>
      <c r="F153" s="1049"/>
      <c r="G153" s="241" t="s">
        <v>215</v>
      </c>
      <c r="H153" s="69">
        <v>80111600</v>
      </c>
      <c r="I153" s="47" t="s">
        <v>95</v>
      </c>
      <c r="J153" s="40" t="s">
        <v>63</v>
      </c>
      <c r="K153" s="41">
        <v>4</v>
      </c>
      <c r="L153" s="42" t="s">
        <v>61</v>
      </c>
      <c r="M153" s="248">
        <f>17474886-3074886-14400000</f>
        <v>0</v>
      </c>
      <c r="N153" s="249"/>
      <c r="O153" s="245">
        <f t="shared" si="32"/>
        <v>0</v>
      </c>
    </row>
    <row r="154" spans="1:15" ht="33" customHeight="1" x14ac:dyDescent="0.25">
      <c r="A154" s="1117"/>
      <c r="B154" s="1117"/>
      <c r="C154" s="1117"/>
      <c r="D154" s="1117"/>
      <c r="E154" s="1117"/>
      <c r="F154" s="1049"/>
      <c r="G154" s="241" t="s">
        <v>256</v>
      </c>
      <c r="H154" s="69">
        <v>80111600</v>
      </c>
      <c r="I154" s="47" t="s">
        <v>95</v>
      </c>
      <c r="J154" s="40" t="s">
        <v>63</v>
      </c>
      <c r="K154" s="41">
        <v>1</v>
      </c>
      <c r="L154" s="42" t="s">
        <v>61</v>
      </c>
      <c r="M154" s="248">
        <f>18674886-18674886</f>
        <v>0</v>
      </c>
      <c r="N154" s="249"/>
      <c r="O154" s="245">
        <f t="shared" si="32"/>
        <v>0</v>
      </c>
    </row>
    <row r="155" spans="1:15" ht="77.25" customHeight="1" x14ac:dyDescent="0.25">
      <c r="A155" s="1117"/>
      <c r="B155" s="1117"/>
      <c r="C155" s="1117"/>
      <c r="D155" s="1117"/>
      <c r="E155" s="1117"/>
      <c r="F155" s="1049"/>
      <c r="G155" s="241" t="s">
        <v>436</v>
      </c>
      <c r="H155" s="69">
        <v>80111600</v>
      </c>
      <c r="I155" s="94" t="s">
        <v>437</v>
      </c>
      <c r="J155" s="95" t="s">
        <v>56</v>
      </c>
      <c r="K155" s="95">
        <v>3</v>
      </c>
      <c r="L155" s="42" t="s">
        <v>61</v>
      </c>
      <c r="M155" s="248">
        <v>10710000</v>
      </c>
      <c r="N155" s="249"/>
      <c r="O155" s="245">
        <f t="shared" si="32"/>
        <v>10710000</v>
      </c>
    </row>
    <row r="156" spans="1:15" ht="32.25" customHeight="1" x14ac:dyDescent="0.25">
      <c r="A156" s="1117"/>
      <c r="B156" s="1117"/>
      <c r="C156" s="1117"/>
      <c r="D156" s="1117"/>
      <c r="E156" s="1117"/>
      <c r="F156" s="1049"/>
      <c r="G156" s="241" t="s">
        <v>433</v>
      </c>
      <c r="H156" s="69">
        <v>80111600</v>
      </c>
      <c r="I156" s="47" t="s">
        <v>95</v>
      </c>
      <c r="J156" s="40" t="s">
        <v>56</v>
      </c>
      <c r="K156" s="41">
        <v>6</v>
      </c>
      <c r="L156" s="42" t="s">
        <v>61</v>
      </c>
      <c r="M156" s="248">
        <v>20400000</v>
      </c>
      <c r="N156" s="249"/>
      <c r="O156" s="245">
        <f t="shared" si="32"/>
        <v>20400000</v>
      </c>
    </row>
    <row r="157" spans="1:15" ht="57" customHeight="1" x14ac:dyDescent="0.25">
      <c r="A157" s="1117"/>
      <c r="B157" s="1117"/>
      <c r="C157" s="1117"/>
      <c r="D157" s="1117"/>
      <c r="E157" s="1117"/>
      <c r="F157" s="1049"/>
      <c r="G157" s="241" t="s">
        <v>434</v>
      </c>
      <c r="H157" s="69">
        <v>80111600</v>
      </c>
      <c r="I157" s="47" t="s">
        <v>95</v>
      </c>
      <c r="J157" s="40" t="s">
        <v>56</v>
      </c>
      <c r="K157" s="41">
        <v>1</v>
      </c>
      <c r="L157" s="42" t="s">
        <v>208</v>
      </c>
      <c r="M157" s="248">
        <v>0</v>
      </c>
      <c r="N157" s="249"/>
      <c r="O157" s="245">
        <f t="shared" si="32"/>
        <v>0</v>
      </c>
    </row>
    <row r="158" spans="1:15" ht="55.5" customHeight="1" x14ac:dyDescent="0.25">
      <c r="A158" s="1117"/>
      <c r="B158" s="1117"/>
      <c r="C158" s="1117"/>
      <c r="D158" s="1117"/>
      <c r="E158" s="1117"/>
      <c r="F158" s="1049"/>
      <c r="G158" s="241" t="s">
        <v>435</v>
      </c>
      <c r="H158" s="69">
        <v>80111600</v>
      </c>
      <c r="I158" s="47" t="s">
        <v>95</v>
      </c>
      <c r="J158" s="40" t="s">
        <v>118</v>
      </c>
      <c r="K158" s="41">
        <v>1</v>
      </c>
      <c r="L158" s="42" t="s">
        <v>208</v>
      </c>
      <c r="M158" s="248">
        <f>1380341+1151212</f>
        <v>2531553</v>
      </c>
      <c r="N158" s="249"/>
      <c r="O158" s="245">
        <f t="shared" si="32"/>
        <v>2531553</v>
      </c>
    </row>
    <row r="159" spans="1:15" ht="39.75" customHeight="1" x14ac:dyDescent="0.25">
      <c r="A159" s="1117"/>
      <c r="B159" s="1117"/>
      <c r="C159" s="1117"/>
      <c r="D159" s="1117"/>
      <c r="E159" s="1117"/>
      <c r="F159" s="1049"/>
      <c r="G159" s="241" t="s">
        <v>49</v>
      </c>
      <c r="H159" s="69">
        <v>80111600</v>
      </c>
      <c r="I159" s="47" t="s">
        <v>95</v>
      </c>
      <c r="J159" s="40" t="s">
        <v>63</v>
      </c>
      <c r="K159" s="41">
        <v>9</v>
      </c>
      <c r="L159" s="42" t="s">
        <v>61</v>
      </c>
      <c r="M159" s="248">
        <v>30033333</v>
      </c>
      <c r="N159" s="249"/>
      <c r="O159" s="245">
        <f t="shared" ref="O159:O160" si="33">SUM(M159:N159)</f>
        <v>30033333</v>
      </c>
    </row>
    <row r="160" spans="1:15" ht="48" customHeight="1" x14ac:dyDescent="0.25">
      <c r="A160" s="1117"/>
      <c r="B160" s="1117"/>
      <c r="C160" s="1117"/>
      <c r="D160" s="1117"/>
      <c r="E160" s="1117"/>
      <c r="F160" s="1049"/>
      <c r="G160" s="241" t="s">
        <v>50</v>
      </c>
      <c r="H160" s="69">
        <v>80111600</v>
      </c>
      <c r="I160" s="39" t="s">
        <v>182</v>
      </c>
      <c r="J160" s="40" t="s">
        <v>58</v>
      </c>
      <c r="K160" s="41">
        <v>4</v>
      </c>
      <c r="L160" s="42" t="s">
        <v>61</v>
      </c>
      <c r="M160" s="246">
        <f>7912624-7912624</f>
        <v>0</v>
      </c>
      <c r="N160" s="243"/>
      <c r="O160" s="245">
        <f t="shared" si="33"/>
        <v>0</v>
      </c>
    </row>
    <row r="161" spans="1:15" ht="15.75" x14ac:dyDescent="0.25">
      <c r="A161" s="1117"/>
      <c r="B161" s="1117"/>
      <c r="C161" s="1117"/>
      <c r="D161" s="1117"/>
      <c r="E161" s="1117"/>
      <c r="F161" s="1050"/>
      <c r="G161" s="1149"/>
      <c r="H161" s="1149"/>
      <c r="I161" s="1149"/>
      <c r="J161" s="1149"/>
      <c r="K161" s="1149"/>
      <c r="L161" s="1150"/>
      <c r="M161" s="250">
        <f>SUM(M151:M160)</f>
        <v>103274886</v>
      </c>
      <c r="N161" s="250">
        <f>SUM(N151:N160)</f>
        <v>0</v>
      </c>
      <c r="O161" s="250">
        <f>SUM(O151:O160)</f>
        <v>103274886</v>
      </c>
    </row>
    <row r="162" spans="1:15" ht="15.75" x14ac:dyDescent="0.25">
      <c r="A162" s="1117"/>
      <c r="B162" s="1117"/>
      <c r="C162" s="1117"/>
      <c r="D162" s="1117"/>
      <c r="E162" s="1117"/>
      <c r="F162" s="1151" t="s">
        <v>17</v>
      </c>
      <c r="G162" s="1151"/>
      <c r="H162" s="1151"/>
      <c r="I162" s="1151"/>
      <c r="J162" s="1151"/>
      <c r="K162" s="1151"/>
      <c r="L162" s="1151"/>
      <c r="M162" s="251">
        <f>+M161+M150</f>
        <v>705386000</v>
      </c>
      <c r="N162" s="251">
        <f>+N161+N150</f>
        <v>15637000</v>
      </c>
      <c r="O162" s="251">
        <f>+O161+O150</f>
        <v>721023000</v>
      </c>
    </row>
    <row r="163" spans="1:15" ht="15.75" x14ac:dyDescent="0.25">
      <c r="A163" s="1117"/>
      <c r="B163" s="1117"/>
      <c r="C163" s="1152" t="s">
        <v>21</v>
      </c>
      <c r="D163" s="1152"/>
      <c r="E163" s="1152"/>
      <c r="F163" s="1152"/>
      <c r="G163" s="1152"/>
      <c r="H163" s="1152"/>
      <c r="I163" s="1152"/>
      <c r="J163" s="1152"/>
      <c r="K163" s="1152"/>
      <c r="L163" s="1152"/>
      <c r="M163" s="252">
        <f>+M162</f>
        <v>705386000</v>
      </c>
      <c r="N163" s="252">
        <f t="shared" ref="N163:O163" si="34">+N162</f>
        <v>15637000</v>
      </c>
      <c r="O163" s="252">
        <f t="shared" si="34"/>
        <v>721023000</v>
      </c>
    </row>
    <row r="164" spans="1:15" ht="23.25" customHeight="1" x14ac:dyDescent="0.25">
      <c r="A164" s="1121" t="s">
        <v>22</v>
      </c>
      <c r="B164" s="1121"/>
      <c r="C164" s="1122"/>
      <c r="D164" s="1122"/>
      <c r="E164" s="1122"/>
      <c r="F164" s="1122"/>
      <c r="G164" s="1122"/>
      <c r="H164" s="1122"/>
      <c r="I164" s="1122"/>
      <c r="J164" s="1122"/>
      <c r="K164" s="1122"/>
      <c r="L164" s="1122"/>
      <c r="M164" s="253">
        <f>+M163+M133</f>
        <v>3477386000</v>
      </c>
      <c r="N164" s="253">
        <f>+N163+N133</f>
        <v>2709528900</v>
      </c>
      <c r="O164" s="253" t="e">
        <f>+O163+O133</f>
        <v>#VALUE!</v>
      </c>
    </row>
    <row r="165" spans="1:15" s="6" customFormat="1" ht="15.75" x14ac:dyDescent="0.25">
      <c r="A165" s="254"/>
      <c r="B165" s="254"/>
      <c r="C165" s="255"/>
      <c r="D165" s="255"/>
      <c r="E165" s="255"/>
      <c r="F165" s="255"/>
      <c r="G165" s="255"/>
      <c r="H165" s="255"/>
      <c r="I165" s="255"/>
      <c r="J165" s="255"/>
      <c r="K165" s="255"/>
      <c r="L165" s="255"/>
      <c r="M165" s="259"/>
      <c r="N165" s="259"/>
      <c r="O165" s="259"/>
    </row>
    <row r="166" spans="1:15" s="6" customFormat="1" ht="15.75" x14ac:dyDescent="0.25">
      <c r="A166" s="254"/>
      <c r="B166" s="254"/>
      <c r="C166" s="255"/>
      <c r="D166" s="255"/>
      <c r="E166" s="255"/>
      <c r="F166" s="255"/>
      <c r="G166" s="255"/>
      <c r="H166" s="255"/>
      <c r="I166" s="255"/>
      <c r="J166" s="255"/>
      <c r="K166" s="255"/>
      <c r="L166" s="255"/>
      <c r="M166" s="259"/>
      <c r="N166" s="259"/>
      <c r="O166" s="259"/>
    </row>
    <row r="167" spans="1:15" ht="27" customHeight="1" x14ac:dyDescent="0.25">
      <c r="A167" s="48"/>
      <c r="B167" s="48"/>
      <c r="C167" s="260" t="s">
        <v>19</v>
      </c>
      <c r="D167" s="256"/>
      <c r="E167" s="256"/>
      <c r="F167" s="256"/>
      <c r="G167" s="49"/>
      <c r="H167" s="257" t="s">
        <v>32</v>
      </c>
      <c r="I167" s="50"/>
      <c r="J167" s="50"/>
      <c r="K167" s="50"/>
      <c r="M167" s="258"/>
      <c r="N167" s="258"/>
      <c r="O167" s="258"/>
    </row>
    <row r="168" spans="1:15" ht="15.75" customHeight="1" x14ac:dyDescent="0.25">
      <c r="A168" s="48"/>
      <c r="B168" s="48"/>
      <c r="C168" s="1113" t="s">
        <v>4</v>
      </c>
      <c r="D168" s="1113"/>
      <c r="E168" s="1113"/>
      <c r="F168" s="1113"/>
      <c r="G168" s="49"/>
      <c r="H168" s="1045" t="s">
        <v>33</v>
      </c>
      <c r="I168" s="1045"/>
      <c r="J168" s="1045"/>
      <c r="K168" s="1045"/>
      <c r="L168" s="1045"/>
      <c r="M168" s="1046"/>
      <c r="N168" s="1046"/>
      <c r="O168" s="1046"/>
    </row>
    <row r="169" spans="1:15" ht="24.75" customHeight="1" x14ac:dyDescent="0.25">
      <c r="N169" s="274"/>
    </row>
    <row r="170" spans="1:15" ht="27.75" customHeight="1" x14ac:dyDescent="0.25">
      <c r="A170" s="6"/>
      <c r="B170" s="6"/>
      <c r="C170" s="273" t="s">
        <v>39</v>
      </c>
      <c r="D170" s="273"/>
      <c r="E170" s="273"/>
      <c r="F170" s="273"/>
      <c r="G170" s="14"/>
      <c r="H170" s="1153" t="s">
        <v>34</v>
      </c>
      <c r="I170" s="1153"/>
      <c r="J170" s="1153"/>
      <c r="K170" s="1153"/>
      <c r="L170" s="1153"/>
      <c r="M170" s="1153"/>
      <c r="N170" s="272"/>
      <c r="O170" s="13"/>
    </row>
    <row r="171" spans="1:15" ht="28.5" customHeight="1" x14ac:dyDescent="0.25">
      <c r="C171" s="73" t="s">
        <v>530</v>
      </c>
      <c r="D171" s="7"/>
      <c r="E171" s="7"/>
      <c r="F171" s="14"/>
      <c r="G171" s="14"/>
      <c r="H171" s="1154" t="s">
        <v>30</v>
      </c>
      <c r="I171" s="1154"/>
      <c r="J171" s="1154"/>
      <c r="K171" s="1154"/>
      <c r="L171" s="1154"/>
      <c r="M171" s="1154"/>
      <c r="N171" s="272"/>
      <c r="O171" s="51"/>
    </row>
  </sheetData>
  <mergeCells count="162">
    <mergeCell ref="H170:M170"/>
    <mergeCell ref="H171:M171"/>
    <mergeCell ref="A135:D135"/>
    <mergeCell ref="E135:O135"/>
    <mergeCell ref="A136:D136"/>
    <mergeCell ref="E97:E103"/>
    <mergeCell ref="D97:D103"/>
    <mergeCell ref="F84:F87"/>
    <mergeCell ref="F90:F95"/>
    <mergeCell ref="E90:E96"/>
    <mergeCell ref="D90:D96"/>
    <mergeCell ref="C90:C96"/>
    <mergeCell ref="B84:B96"/>
    <mergeCell ref="E84:E89"/>
    <mergeCell ref="D84:D89"/>
    <mergeCell ref="C84:C89"/>
    <mergeCell ref="A84:A96"/>
    <mergeCell ref="F103:L103"/>
    <mergeCell ref="F88:L88"/>
    <mergeCell ref="F89:L89"/>
    <mergeCell ref="F96:L96"/>
    <mergeCell ref="F98:L98"/>
    <mergeCell ref="F102:L102"/>
    <mergeCell ref="F104:F109"/>
    <mergeCell ref="F111:F117"/>
    <mergeCell ref="E104:E110"/>
    <mergeCell ref="A151:A163"/>
    <mergeCell ref="B151:B163"/>
    <mergeCell ref="A140:A150"/>
    <mergeCell ref="B140:B150"/>
    <mergeCell ref="I138:I139"/>
    <mergeCell ref="J138:L138"/>
    <mergeCell ref="A138:A139"/>
    <mergeCell ref="B138:B139"/>
    <mergeCell ref="C138:C139"/>
    <mergeCell ref="D138:D139"/>
    <mergeCell ref="E138:E139"/>
    <mergeCell ref="F138:F139"/>
    <mergeCell ref="G161:L161"/>
    <mergeCell ref="F162:L162"/>
    <mergeCell ref="C163:L163"/>
    <mergeCell ref="D104:D110"/>
    <mergeCell ref="C104:C110"/>
    <mergeCell ref="B104:B110"/>
    <mergeCell ref="M138:M139"/>
    <mergeCell ref="N138:N139"/>
    <mergeCell ref="O138:O139"/>
    <mergeCell ref="C140:C150"/>
    <mergeCell ref="D140:D150"/>
    <mergeCell ref="E140:E150"/>
    <mergeCell ref="G150:L150"/>
    <mergeCell ref="G138:G139"/>
    <mergeCell ref="H138:H139"/>
    <mergeCell ref="C168:F168"/>
    <mergeCell ref="F19:F27"/>
    <mergeCell ref="F31:F37"/>
    <mergeCell ref="F39:F46"/>
    <mergeCell ref="D29:D38"/>
    <mergeCell ref="C29:C38"/>
    <mergeCell ref="C151:C162"/>
    <mergeCell ref="D151:D162"/>
    <mergeCell ref="E151:E162"/>
    <mergeCell ref="C39:C48"/>
    <mergeCell ref="D39:D48"/>
    <mergeCell ref="F49:F54"/>
    <mergeCell ref="F56:F64"/>
    <mergeCell ref="F70:F71"/>
    <mergeCell ref="F73:F83"/>
    <mergeCell ref="E73:E83"/>
    <mergeCell ref="D73:D83"/>
    <mergeCell ref="A164:L164"/>
    <mergeCell ref="A69:L69"/>
    <mergeCell ref="D70:D72"/>
    <mergeCell ref="E70:E72"/>
    <mergeCell ref="G27:J27"/>
    <mergeCell ref="F28:J28"/>
    <mergeCell ref="G71:L71"/>
    <mergeCell ref="F72:L72"/>
    <mergeCell ref="A49:A68"/>
    <mergeCell ref="B49:B68"/>
    <mergeCell ref="C49:C68"/>
    <mergeCell ref="D49:D68"/>
    <mergeCell ref="E49:E68"/>
    <mergeCell ref="F55:G55"/>
    <mergeCell ref="F65:G65"/>
    <mergeCell ref="F67:G67"/>
    <mergeCell ref="F68:L68"/>
    <mergeCell ref="A70:A83"/>
    <mergeCell ref="B70:B83"/>
    <mergeCell ref="C70:C83"/>
    <mergeCell ref="E1:M4"/>
    <mergeCell ref="A5:C5"/>
    <mergeCell ref="E5:O5"/>
    <mergeCell ref="A6:C6"/>
    <mergeCell ref="E6:O6"/>
    <mergeCell ref="A7:C7"/>
    <mergeCell ref="E7:O7"/>
    <mergeCell ref="M11:M12"/>
    <mergeCell ref="F38:G38"/>
    <mergeCell ref="B29:B38"/>
    <mergeCell ref="F29:F30"/>
    <mergeCell ref="A29:A38"/>
    <mergeCell ref="E29:E38"/>
    <mergeCell ref="B13:B28"/>
    <mergeCell ref="C13:C28"/>
    <mergeCell ref="D13:D18"/>
    <mergeCell ref="E13:E18"/>
    <mergeCell ref="G11:G12"/>
    <mergeCell ref="H11:H12"/>
    <mergeCell ref="I11:I12"/>
    <mergeCell ref="G17:J17"/>
    <mergeCell ref="F18:J18"/>
    <mergeCell ref="D19:D28"/>
    <mergeCell ref="E19:E28"/>
    <mergeCell ref="C97:C103"/>
    <mergeCell ref="B97:B103"/>
    <mergeCell ref="A97:A103"/>
    <mergeCell ref="F99:F101"/>
    <mergeCell ref="A8:C8"/>
    <mergeCell ref="E8:O8"/>
    <mergeCell ref="E9:O9"/>
    <mergeCell ref="E10:O10"/>
    <mergeCell ref="A11:A12"/>
    <mergeCell ref="B11:B12"/>
    <mergeCell ref="C11:C12"/>
    <mergeCell ref="D11:D12"/>
    <mergeCell ref="E11:E12"/>
    <mergeCell ref="F11:F12"/>
    <mergeCell ref="N11:N12"/>
    <mergeCell ref="O11:O12"/>
    <mergeCell ref="A13:A28"/>
    <mergeCell ref="F13:F17"/>
    <mergeCell ref="J11:L11"/>
    <mergeCell ref="A39:A48"/>
    <mergeCell ref="E39:E48"/>
    <mergeCell ref="F47:G47"/>
    <mergeCell ref="F48:L48"/>
    <mergeCell ref="B39:B48"/>
    <mergeCell ref="H168:L168"/>
    <mergeCell ref="M168:O168"/>
    <mergeCell ref="A104:A110"/>
    <mergeCell ref="F123:F129"/>
    <mergeCell ref="A111:A131"/>
    <mergeCell ref="B111:B131"/>
    <mergeCell ref="C111:C131"/>
    <mergeCell ref="D111:D131"/>
    <mergeCell ref="E111:E131"/>
    <mergeCell ref="F140:F150"/>
    <mergeCell ref="F151:F161"/>
    <mergeCell ref="E136:O136"/>
    <mergeCell ref="A137:D137"/>
    <mergeCell ref="E137:O137"/>
    <mergeCell ref="F130:L130"/>
    <mergeCell ref="F131:L131"/>
    <mergeCell ref="A132:L132"/>
    <mergeCell ref="A133:L133"/>
    <mergeCell ref="A134:D134"/>
    <mergeCell ref="E134:O134"/>
    <mergeCell ref="F110:L110"/>
    <mergeCell ref="F118:L118"/>
    <mergeCell ref="F120:L120"/>
    <mergeCell ref="F122:L122"/>
  </mergeCells>
  <pageMargins left="0.70866141732283472" right="0.70866141732283472" top="0.74803149606299213" bottom="0.74803149606299213" header="0.31496062992125984" footer="0.31496062992125984"/>
  <pageSetup paperSize="14" scale="54" orientation="landscape" r:id="rId1"/>
  <headerFooter>
    <oddFooter>&amp;LElaboró; Oficina Asesora de Planeación
Martha Quintero B.&amp;C&amp;P
DE ACUERDO A MEMORANDO NO. 1016 DEL 22 DE JUNIO DE 2017&amp;R&amp;12VERSIÓN 4</oddFooter>
  </headerFooter>
  <rowBreaks count="8" manualBreakCount="8">
    <brk id="38" max="16383" man="1"/>
    <brk id="48" max="16383" man="1"/>
    <brk id="69" max="16383" man="1"/>
    <brk id="83" max="14" man="1"/>
    <brk id="96" max="14" man="1"/>
    <brk id="110" max="16383" man="1"/>
    <brk id="133" max="14" man="1"/>
    <brk id="150" max="14"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N10"/>
  <sheetViews>
    <sheetView topLeftCell="E1" workbookViewId="0">
      <selection activeCell="I17" sqref="I17"/>
    </sheetView>
  </sheetViews>
  <sheetFormatPr baseColWidth="10" defaultRowHeight="15" x14ac:dyDescent="0.25"/>
  <cols>
    <col min="5" max="5" width="33" customWidth="1"/>
    <col min="6" max="9" width="16.85546875" bestFit="1" customWidth="1"/>
    <col min="10" max="11" width="14.140625" bestFit="1" customWidth="1"/>
    <col min="12" max="13" width="16.85546875" bestFit="1" customWidth="1"/>
    <col min="14" max="14" width="15.7109375" bestFit="1" customWidth="1"/>
  </cols>
  <sheetData>
    <row r="6" spans="5:14" x14ac:dyDescent="0.25">
      <c r="E6" s="370"/>
      <c r="F6" s="80">
        <v>2009</v>
      </c>
      <c r="G6" s="80">
        <v>2010</v>
      </c>
      <c r="H6" s="80">
        <v>2011</v>
      </c>
      <c r="I6" s="80">
        <v>2012</v>
      </c>
      <c r="J6" s="80">
        <v>2013</v>
      </c>
      <c r="K6" s="80">
        <v>2014</v>
      </c>
      <c r="L6" s="80">
        <v>2015</v>
      </c>
      <c r="M6" s="80">
        <v>2016</v>
      </c>
      <c r="N6" s="80">
        <v>2017</v>
      </c>
    </row>
    <row r="7" spans="5:14" x14ac:dyDescent="0.25">
      <c r="E7" s="370" t="s">
        <v>700</v>
      </c>
      <c r="F7" s="80">
        <v>3375224000</v>
      </c>
      <c r="G7" s="80">
        <v>3673508000</v>
      </c>
      <c r="H7" s="80">
        <v>3860781944</v>
      </c>
      <c r="I7" s="80">
        <v>4186981000</v>
      </c>
      <c r="J7" s="80">
        <v>4287332000</v>
      </c>
      <c r="K7" s="80">
        <v>4394904000</v>
      </c>
      <c r="L7" s="80">
        <v>4828126000</v>
      </c>
      <c r="M7" s="80">
        <v>5192468000</v>
      </c>
      <c r="N7" s="80">
        <v>5614437000</v>
      </c>
    </row>
    <row r="8" spans="5:14" x14ac:dyDescent="0.25">
      <c r="E8" s="370" t="s">
        <v>701</v>
      </c>
      <c r="F8" s="80">
        <v>6054060830</v>
      </c>
      <c r="G8" s="80">
        <v>4800958320</v>
      </c>
      <c r="H8" s="80">
        <v>6640821517</v>
      </c>
      <c r="I8" s="80">
        <v>5104144750</v>
      </c>
      <c r="J8" s="80">
        <v>5774000000</v>
      </c>
      <c r="K8" s="80">
        <v>6026000000</v>
      </c>
      <c r="L8" s="80">
        <v>8813912826</v>
      </c>
      <c r="M8" s="80">
        <v>4759565916</v>
      </c>
      <c r="N8" s="80">
        <v>6186914900</v>
      </c>
    </row>
    <row r="9" spans="5:14" x14ac:dyDescent="0.25">
      <c r="E9" s="373" t="s">
        <v>2</v>
      </c>
      <c r="F9" s="121">
        <v>2658330830</v>
      </c>
      <c r="G9" s="121">
        <v>2502185090</v>
      </c>
      <c r="H9" s="121">
        <v>1727200106</v>
      </c>
      <c r="I9" s="121">
        <v>1501866000</v>
      </c>
      <c r="J9" s="121">
        <v>964154000</v>
      </c>
      <c r="K9" s="121">
        <v>117918000</v>
      </c>
      <c r="L9" s="121">
        <v>3476233826</v>
      </c>
      <c r="M9" s="121">
        <v>1147565916</v>
      </c>
      <c r="N9" s="121">
        <v>1147565916</v>
      </c>
    </row>
    <row r="10" spans="5:14" x14ac:dyDescent="0.25">
      <c r="E10" s="371" t="s">
        <v>702</v>
      </c>
      <c r="F10" s="372">
        <f>+F8-F9</f>
        <v>3395730000</v>
      </c>
      <c r="G10" s="372">
        <f t="shared" ref="G10:M10" si="0">+G8-G9</f>
        <v>2298773230</v>
      </c>
      <c r="H10" s="372">
        <f t="shared" si="0"/>
        <v>4913621411</v>
      </c>
      <c r="I10" s="372">
        <f t="shared" si="0"/>
        <v>3602278750</v>
      </c>
      <c r="J10" s="372">
        <f t="shared" si="0"/>
        <v>4809846000</v>
      </c>
      <c r="K10" s="372">
        <f t="shared" si="0"/>
        <v>5908082000</v>
      </c>
      <c r="L10" s="372">
        <f t="shared" si="0"/>
        <v>5337679000</v>
      </c>
      <c r="M10" s="372">
        <f t="shared" si="0"/>
        <v>3612000000</v>
      </c>
      <c r="N10" s="372">
        <f>+N8-N9</f>
        <v>5039348984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4"/>
  <sheetViews>
    <sheetView showGridLines="0" view="pageBreakPreview" zoomScale="62" zoomScaleNormal="85" zoomScaleSheetLayoutView="62" workbookViewId="0">
      <selection activeCell="S8" sqref="S8"/>
    </sheetView>
  </sheetViews>
  <sheetFormatPr baseColWidth="10" defaultColWidth="21.140625" defaultRowHeight="33" customHeight="1" x14ac:dyDescent="0.2"/>
  <cols>
    <col min="1" max="4" width="21.140625" style="392"/>
    <col min="5" max="5" width="74.5703125" style="518" customWidth="1"/>
    <col min="6" max="13" width="21.140625" style="392"/>
    <col min="14" max="14" width="23.85546875" style="392" customWidth="1"/>
    <col min="15" max="15" width="21.140625" style="392"/>
    <col min="16" max="16" width="24.5703125" style="392" customWidth="1"/>
    <col min="17" max="17" width="21.140625" style="392"/>
    <col min="18" max="18" width="25" style="391" customWidth="1"/>
    <col min="19" max="19" width="21.140625" style="391"/>
    <col min="20" max="20" width="23.42578125" style="391" customWidth="1"/>
    <col min="21" max="28" width="21.140625" style="391"/>
    <col min="29" max="16384" width="21.140625" style="392"/>
  </cols>
  <sheetData>
    <row r="1" spans="1:28" ht="33" customHeight="1" x14ac:dyDescent="0.2">
      <c r="A1" s="385"/>
      <c r="B1" s="386"/>
      <c r="C1" s="387"/>
      <c r="D1" s="387"/>
      <c r="E1" s="978" t="s">
        <v>179</v>
      </c>
      <c r="F1" s="978"/>
      <c r="G1" s="978"/>
      <c r="H1" s="978"/>
      <c r="I1" s="978"/>
      <c r="J1" s="978"/>
      <c r="K1" s="978"/>
      <c r="L1" s="978"/>
      <c r="M1" s="388"/>
      <c r="N1" s="1001" t="s">
        <v>152</v>
      </c>
      <c r="O1" s="1002"/>
      <c r="P1" s="1003"/>
      <c r="Q1" s="389"/>
      <c r="R1" s="390"/>
      <c r="S1" s="390"/>
      <c r="T1" s="390"/>
      <c r="U1" s="390"/>
      <c r="V1" s="390"/>
    </row>
    <row r="2" spans="1:28" ht="33" customHeight="1" x14ac:dyDescent="0.2">
      <c r="A2" s="393"/>
      <c r="B2" s="394"/>
      <c r="C2" s="395"/>
      <c r="D2" s="395"/>
      <c r="E2" s="999"/>
      <c r="F2" s="999"/>
      <c r="G2" s="999"/>
      <c r="H2" s="999"/>
      <c r="I2" s="999"/>
      <c r="J2" s="999"/>
      <c r="K2" s="999"/>
      <c r="L2" s="999"/>
      <c r="M2" s="388"/>
      <c r="N2" s="396" t="s">
        <v>150</v>
      </c>
      <c r="O2" s="397"/>
      <c r="P2" s="398"/>
      <c r="Q2" s="399"/>
      <c r="R2" s="390"/>
      <c r="S2" s="390"/>
      <c r="T2" s="390"/>
      <c r="U2" s="390"/>
      <c r="V2" s="390"/>
    </row>
    <row r="3" spans="1:28" ht="33" customHeight="1" x14ac:dyDescent="0.2">
      <c r="A3" s="393"/>
      <c r="B3" s="394"/>
      <c r="C3" s="395"/>
      <c r="D3" s="395"/>
      <c r="E3" s="999"/>
      <c r="F3" s="999"/>
      <c r="G3" s="999"/>
      <c r="H3" s="999"/>
      <c r="I3" s="999"/>
      <c r="J3" s="999"/>
      <c r="K3" s="999"/>
      <c r="L3" s="999"/>
      <c r="M3" s="388"/>
      <c r="N3" s="996" t="s">
        <v>146</v>
      </c>
      <c r="O3" s="997"/>
      <c r="P3" s="998"/>
      <c r="Q3" s="400"/>
      <c r="R3" s="390"/>
      <c r="S3" s="390"/>
      <c r="T3" s="390"/>
      <c r="U3" s="390"/>
      <c r="V3" s="390"/>
    </row>
    <row r="4" spans="1:28" ht="33" customHeight="1" x14ac:dyDescent="0.2">
      <c r="A4" s="393"/>
      <c r="B4" s="394"/>
      <c r="C4" s="395"/>
      <c r="D4" s="395"/>
      <c r="E4" s="999"/>
      <c r="F4" s="999"/>
      <c r="G4" s="999"/>
      <c r="H4" s="999"/>
      <c r="I4" s="999"/>
      <c r="J4" s="999"/>
      <c r="K4" s="999"/>
      <c r="L4" s="999"/>
      <c r="M4" s="388"/>
      <c r="N4" s="401" t="s">
        <v>191</v>
      </c>
      <c r="O4" s="1006"/>
      <c r="P4" s="1007"/>
      <c r="Q4" s="402"/>
      <c r="R4" s="390"/>
      <c r="S4" s="390"/>
      <c r="T4" s="390"/>
      <c r="U4" s="390"/>
      <c r="V4" s="390"/>
    </row>
    <row r="5" spans="1:28" ht="33" customHeight="1" x14ac:dyDescent="0.2">
      <c r="A5" s="403"/>
      <c r="B5" s="404"/>
      <c r="C5" s="405"/>
      <c r="D5" s="405"/>
      <c r="E5" s="1000"/>
      <c r="F5" s="1000"/>
      <c r="G5" s="1000"/>
      <c r="H5" s="1000"/>
      <c r="I5" s="1000"/>
      <c r="J5" s="1000"/>
      <c r="K5" s="1000"/>
      <c r="L5" s="1000"/>
      <c r="M5" s="388"/>
      <c r="N5" s="406"/>
      <c r="O5" s="406"/>
      <c r="P5" s="406"/>
      <c r="Q5" s="406"/>
      <c r="R5" s="390"/>
      <c r="S5" s="390"/>
      <c r="T5" s="390"/>
      <c r="U5" s="390"/>
      <c r="V5" s="390"/>
    </row>
    <row r="6" spans="1:28" ht="33" customHeight="1" x14ac:dyDescent="0.2">
      <c r="A6" s="976"/>
      <c r="B6" s="977"/>
      <c r="C6" s="407"/>
      <c r="D6" s="407"/>
      <c r="E6" s="978"/>
      <c r="F6" s="978"/>
      <c r="G6" s="978"/>
      <c r="H6" s="978"/>
      <c r="I6" s="978"/>
      <c r="J6" s="978"/>
      <c r="K6" s="978"/>
      <c r="L6" s="978"/>
      <c r="M6" s="978"/>
      <c r="N6" s="978"/>
      <c r="O6" s="978"/>
      <c r="P6" s="979"/>
      <c r="Q6" s="388"/>
      <c r="R6" s="992" t="s">
        <v>745</v>
      </c>
      <c r="S6" s="992"/>
      <c r="T6" s="993"/>
      <c r="U6" s="990" t="s">
        <v>222</v>
      </c>
      <c r="V6" s="989" t="s">
        <v>223</v>
      </c>
      <c r="W6" s="988" t="s">
        <v>224</v>
      </c>
    </row>
    <row r="7" spans="1:28" s="410" customFormat="1" ht="33" customHeight="1" x14ac:dyDescent="0.2">
      <c r="A7" s="985" t="s">
        <v>178</v>
      </c>
      <c r="B7" s="985" t="s">
        <v>25</v>
      </c>
      <c r="C7" s="1004" t="s">
        <v>183</v>
      </c>
      <c r="D7" s="1004" t="s">
        <v>193</v>
      </c>
      <c r="E7" s="985" t="s">
        <v>6</v>
      </c>
      <c r="F7" s="1004" t="s">
        <v>7</v>
      </c>
      <c r="G7" s="1004" t="s">
        <v>8</v>
      </c>
      <c r="H7" s="986" t="s">
        <v>450</v>
      </c>
      <c r="I7" s="408"/>
      <c r="J7" s="1008" t="s">
        <v>9</v>
      </c>
      <c r="K7" s="1008"/>
      <c r="L7" s="1009"/>
      <c r="M7" s="409"/>
      <c r="N7" s="980" t="s">
        <v>1</v>
      </c>
      <c r="O7" s="981" t="s">
        <v>2</v>
      </c>
      <c r="P7" s="983" t="s">
        <v>3</v>
      </c>
      <c r="Q7" s="974" t="s">
        <v>290</v>
      </c>
      <c r="R7" s="990" t="s">
        <v>1</v>
      </c>
      <c r="S7" s="812" t="s">
        <v>291</v>
      </c>
      <c r="T7" s="990" t="s">
        <v>3</v>
      </c>
      <c r="U7" s="995"/>
      <c r="V7" s="994"/>
      <c r="W7" s="988"/>
      <c r="X7" s="391"/>
      <c r="Y7" s="391"/>
      <c r="Z7" s="391"/>
      <c r="AA7" s="391"/>
      <c r="AB7" s="391"/>
    </row>
    <row r="8" spans="1:28" s="410" customFormat="1" ht="33" customHeight="1" x14ac:dyDescent="0.2">
      <c r="A8" s="985"/>
      <c r="B8" s="985"/>
      <c r="C8" s="1005"/>
      <c r="D8" s="1005"/>
      <c r="E8" s="985"/>
      <c r="F8" s="1005"/>
      <c r="G8" s="1005"/>
      <c r="H8" s="987"/>
      <c r="I8" s="411" t="s">
        <v>449</v>
      </c>
      <c r="J8" s="412" t="s">
        <v>10</v>
      </c>
      <c r="K8" s="412" t="s">
        <v>11</v>
      </c>
      <c r="L8" s="412" t="s">
        <v>213</v>
      </c>
      <c r="M8" s="412" t="s">
        <v>214</v>
      </c>
      <c r="N8" s="980"/>
      <c r="O8" s="982"/>
      <c r="P8" s="984"/>
      <c r="Q8" s="975"/>
      <c r="R8" s="991"/>
      <c r="S8" s="813"/>
      <c r="T8" s="991"/>
      <c r="U8" s="995"/>
      <c r="V8" s="994"/>
      <c r="W8" s="989"/>
      <c r="X8" s="391"/>
      <c r="Y8" s="391"/>
      <c r="Z8" s="391"/>
      <c r="AA8" s="391"/>
      <c r="AB8" s="391"/>
    </row>
    <row r="9" spans="1:28" s="410" customFormat="1" ht="33" customHeight="1" x14ac:dyDescent="0.2">
      <c r="A9" s="972">
        <v>3120101</v>
      </c>
      <c r="B9" s="376" t="s">
        <v>125</v>
      </c>
      <c r="C9" s="376">
        <v>263</v>
      </c>
      <c r="D9" s="376">
        <v>1</v>
      </c>
      <c r="E9" s="413" t="s">
        <v>438</v>
      </c>
      <c r="F9" s="376">
        <v>93141506</v>
      </c>
      <c r="G9" s="376" t="s">
        <v>26</v>
      </c>
      <c r="H9" s="376" t="s">
        <v>312</v>
      </c>
      <c r="I9" s="414" t="s">
        <v>579</v>
      </c>
      <c r="J9" s="415" t="s">
        <v>56</v>
      </c>
      <c r="K9" s="416">
        <v>1</v>
      </c>
      <c r="L9" s="417" t="s">
        <v>209</v>
      </c>
      <c r="M9" s="417" t="s">
        <v>188</v>
      </c>
      <c r="N9" s="418">
        <v>1358990</v>
      </c>
      <c r="O9" s="418"/>
      <c r="P9" s="418">
        <f>SUM(N9:O9)</f>
        <v>1358990</v>
      </c>
      <c r="Q9" s="416">
        <v>1</v>
      </c>
      <c r="R9" s="418">
        <v>1358990</v>
      </c>
      <c r="S9" s="418"/>
      <c r="T9" s="419">
        <f>+R9+S9</f>
        <v>1358990</v>
      </c>
      <c r="U9" s="417">
        <v>42873</v>
      </c>
      <c r="V9" s="419" t="s">
        <v>483</v>
      </c>
      <c r="W9" s="418" t="s">
        <v>610</v>
      </c>
      <c r="X9" s="420"/>
      <c r="Y9" s="420"/>
      <c r="Z9" s="420"/>
      <c r="AA9" s="391"/>
      <c r="AB9" s="391"/>
    </row>
    <row r="10" spans="1:28" s="410" customFormat="1" ht="33" customHeight="1" x14ac:dyDescent="0.2">
      <c r="A10" s="972"/>
      <c r="B10" s="376" t="s">
        <v>125</v>
      </c>
      <c r="C10" s="374">
        <v>310</v>
      </c>
      <c r="D10" s="421">
        <v>33</v>
      </c>
      <c r="E10" s="422" t="s">
        <v>718</v>
      </c>
      <c r="F10" s="374">
        <v>93141506</v>
      </c>
      <c r="G10" s="374" t="s">
        <v>26</v>
      </c>
      <c r="H10" s="374" t="s">
        <v>312</v>
      </c>
      <c r="I10" s="374" t="s">
        <v>580</v>
      </c>
      <c r="J10" s="423" t="s">
        <v>713</v>
      </c>
      <c r="K10" s="423">
        <v>1</v>
      </c>
      <c r="L10" s="415" t="s">
        <v>208</v>
      </c>
      <c r="M10" s="415" t="s">
        <v>208</v>
      </c>
      <c r="N10" s="418">
        <v>917847</v>
      </c>
      <c r="O10" s="418"/>
      <c r="P10" s="418">
        <f>+N10+O10</f>
        <v>917847</v>
      </c>
      <c r="Q10" s="416"/>
      <c r="R10" s="418">
        <v>917847</v>
      </c>
      <c r="S10" s="418"/>
      <c r="T10" s="419">
        <f>+R10+S10</f>
        <v>917847</v>
      </c>
      <c r="U10" s="417">
        <v>43066</v>
      </c>
      <c r="V10" s="419">
        <v>115</v>
      </c>
      <c r="W10" s="418" t="s">
        <v>738</v>
      </c>
      <c r="X10" s="424"/>
      <c r="Y10" s="391"/>
      <c r="Z10" s="391"/>
      <c r="AA10" s="391"/>
      <c r="AB10" s="391"/>
    </row>
    <row r="11" spans="1:28" s="410" customFormat="1" ht="33" customHeight="1" x14ac:dyDescent="0.2">
      <c r="A11" s="972"/>
      <c r="B11" s="376"/>
      <c r="C11" s="374"/>
      <c r="D11" s="421"/>
      <c r="E11" s="782" t="s">
        <v>395</v>
      </c>
      <c r="F11" s="783"/>
      <c r="G11" s="783"/>
      <c r="H11" s="783"/>
      <c r="I11" s="783"/>
      <c r="J11" s="784"/>
      <c r="K11" s="784"/>
      <c r="L11" s="785"/>
      <c r="M11" s="785"/>
      <c r="N11" s="786">
        <f>1020000-917847</f>
        <v>102153</v>
      </c>
      <c r="O11" s="786"/>
      <c r="P11" s="786">
        <f>+N11+O11</f>
        <v>102153</v>
      </c>
      <c r="Q11" s="416"/>
      <c r="R11" s="418"/>
      <c r="S11" s="418"/>
      <c r="T11" s="419"/>
      <c r="U11" s="417"/>
      <c r="V11" s="419"/>
      <c r="W11" s="418"/>
      <c r="X11" s="424"/>
      <c r="Y11" s="391"/>
      <c r="Z11" s="391"/>
      <c r="AA11" s="391"/>
      <c r="AB11" s="391"/>
    </row>
    <row r="12" spans="1:28" s="410" customFormat="1" ht="33" customHeight="1" x14ac:dyDescent="0.2">
      <c r="A12" s="972"/>
      <c r="B12" s="376"/>
      <c r="C12" s="374"/>
      <c r="D12" s="374"/>
      <c r="E12" s="422" t="s">
        <v>547</v>
      </c>
      <c r="F12" s="374"/>
      <c r="G12" s="374"/>
      <c r="H12" s="374"/>
      <c r="I12" s="374"/>
      <c r="J12" s="423"/>
      <c r="K12" s="423"/>
      <c r="L12" s="415"/>
      <c r="M12" s="415"/>
      <c r="N12" s="418">
        <v>480010</v>
      </c>
      <c r="O12" s="418"/>
      <c r="P12" s="418">
        <f>+N12+O12</f>
        <v>480010</v>
      </c>
      <c r="Q12" s="416"/>
      <c r="R12" s="418"/>
      <c r="S12" s="418"/>
      <c r="T12" s="419"/>
      <c r="U12" s="417"/>
      <c r="V12" s="418"/>
      <c r="W12" s="418"/>
      <c r="X12" s="424"/>
      <c r="Y12" s="391"/>
      <c r="Z12" s="391"/>
      <c r="AA12" s="391"/>
      <c r="AB12" s="391"/>
    </row>
    <row r="13" spans="1:28" s="391" customFormat="1" ht="33" customHeight="1" x14ac:dyDescent="0.2">
      <c r="A13" s="429"/>
      <c r="B13" s="964" t="s">
        <v>192</v>
      </c>
      <c r="C13" s="965"/>
      <c r="D13" s="965"/>
      <c r="E13" s="965"/>
      <c r="F13" s="965"/>
      <c r="G13" s="965"/>
      <c r="H13" s="965"/>
      <c r="I13" s="965"/>
      <c r="J13" s="965"/>
      <c r="K13" s="965"/>
      <c r="L13" s="430"/>
      <c r="M13" s="431"/>
      <c r="N13" s="432">
        <f>SUM(N9:N12)</f>
        <v>2859000</v>
      </c>
      <c r="O13" s="432">
        <f t="shared" ref="O13:T13" si="0">SUM(O9:O10)</f>
        <v>0</v>
      </c>
      <c r="P13" s="432">
        <f>SUM(P9:P12)</f>
        <v>2859000</v>
      </c>
      <c r="Q13" s="432">
        <f t="shared" si="0"/>
        <v>1</v>
      </c>
      <c r="R13" s="432">
        <f t="shared" si="0"/>
        <v>2276837</v>
      </c>
      <c r="S13" s="432">
        <f t="shared" si="0"/>
        <v>0</v>
      </c>
      <c r="T13" s="432">
        <f t="shared" si="0"/>
        <v>2276837</v>
      </c>
      <c r="U13" s="432"/>
      <c r="V13" s="432">
        <f>SUM(V9:V10)</f>
        <v>115</v>
      </c>
      <c r="W13" s="432">
        <f>SUM(W9:W10)</f>
        <v>0</v>
      </c>
      <c r="X13" s="424"/>
    </row>
    <row r="14" spans="1:28" s="410" customFormat="1" ht="33" customHeight="1" x14ac:dyDescent="0.2">
      <c r="A14" s="972">
        <v>120102</v>
      </c>
      <c r="B14" s="962" t="s">
        <v>27</v>
      </c>
      <c r="C14" s="376">
        <v>299</v>
      </c>
      <c r="D14" s="376">
        <v>4</v>
      </c>
      <c r="E14" s="433" t="s">
        <v>726</v>
      </c>
      <c r="F14" s="374">
        <v>81111811</v>
      </c>
      <c r="G14" s="384" t="s">
        <v>53</v>
      </c>
      <c r="H14" s="374" t="s">
        <v>310</v>
      </c>
      <c r="I14" s="374" t="s">
        <v>611</v>
      </c>
      <c r="J14" s="434" t="s">
        <v>99</v>
      </c>
      <c r="K14" s="435">
        <v>9</v>
      </c>
      <c r="L14" s="415" t="s">
        <v>210</v>
      </c>
      <c r="M14" s="415" t="s">
        <v>185</v>
      </c>
      <c r="N14" s="379">
        <f>48342000-16660000-1271244+5100000+7467523-12583000+14334000-7482610+7482610-3724</f>
        <v>44725555</v>
      </c>
      <c r="O14" s="379"/>
      <c r="P14" s="418">
        <f>SUM(N14:O14)</f>
        <v>44725555</v>
      </c>
      <c r="Q14" s="436"/>
      <c r="R14" s="419">
        <v>44725555</v>
      </c>
      <c r="S14" s="419"/>
      <c r="T14" s="419">
        <f>+R14+S14</f>
        <v>44725555</v>
      </c>
      <c r="U14" s="436">
        <v>43062</v>
      </c>
      <c r="V14" s="419">
        <v>114</v>
      </c>
      <c r="W14" s="419" t="s">
        <v>737</v>
      </c>
      <c r="X14" s="391"/>
      <c r="Y14" s="391"/>
      <c r="Z14" s="391"/>
      <c r="AA14" s="391"/>
      <c r="AB14" s="391"/>
    </row>
    <row r="15" spans="1:28" s="410" customFormat="1" ht="33" customHeight="1" x14ac:dyDescent="0.2">
      <c r="A15" s="972"/>
      <c r="B15" s="963"/>
      <c r="C15" s="376"/>
      <c r="D15" s="376"/>
      <c r="E15" s="787" t="s">
        <v>547</v>
      </c>
      <c r="F15" s="783"/>
      <c r="G15" s="788"/>
      <c r="H15" s="783"/>
      <c r="I15" s="783"/>
      <c r="J15" s="789"/>
      <c r="K15" s="790"/>
      <c r="L15" s="785"/>
      <c r="M15" s="785"/>
      <c r="N15" s="791">
        <v>3724</v>
      </c>
      <c r="O15" s="791"/>
      <c r="P15" s="786">
        <f>+N15+O15</f>
        <v>3724</v>
      </c>
      <c r="Q15" s="436"/>
      <c r="R15" s="419"/>
      <c r="S15" s="419"/>
      <c r="T15" s="419"/>
      <c r="U15" s="436"/>
      <c r="V15" s="419"/>
      <c r="W15" s="419"/>
      <c r="X15" s="391"/>
      <c r="Y15" s="391"/>
      <c r="Z15" s="391"/>
      <c r="AA15" s="391"/>
      <c r="AB15" s="391"/>
    </row>
    <row r="16" spans="1:28" s="410" customFormat="1" ht="57" customHeight="1" x14ac:dyDescent="0.2">
      <c r="A16" s="972"/>
      <c r="B16" s="963"/>
      <c r="C16" s="376">
        <v>192</v>
      </c>
      <c r="D16" s="376">
        <v>14</v>
      </c>
      <c r="E16" s="433" t="s">
        <v>320</v>
      </c>
      <c r="F16" s="374">
        <v>81111811</v>
      </c>
      <c r="G16" s="384" t="s">
        <v>53</v>
      </c>
      <c r="H16" s="374" t="s">
        <v>310</v>
      </c>
      <c r="I16" s="374" t="s">
        <v>611</v>
      </c>
      <c r="J16" s="434" t="s">
        <v>87</v>
      </c>
      <c r="K16" s="435">
        <v>4</v>
      </c>
      <c r="L16" s="415" t="s">
        <v>210</v>
      </c>
      <c r="M16" s="415" t="s">
        <v>185</v>
      </c>
      <c r="N16" s="379">
        <v>16660000</v>
      </c>
      <c r="O16" s="379"/>
      <c r="P16" s="418">
        <f>+N16+O16</f>
        <v>16660000</v>
      </c>
      <c r="Q16" s="416">
        <v>1</v>
      </c>
      <c r="R16" s="379">
        <v>16660000</v>
      </c>
      <c r="S16" s="419"/>
      <c r="T16" s="419">
        <f>+R16+S16</f>
        <v>16660000</v>
      </c>
      <c r="U16" s="417">
        <v>42818</v>
      </c>
      <c r="V16" s="419">
        <v>34</v>
      </c>
      <c r="W16" s="419" t="s">
        <v>323</v>
      </c>
      <c r="X16" s="391"/>
      <c r="Y16" s="391"/>
      <c r="Z16" s="391"/>
      <c r="AA16" s="391"/>
      <c r="AB16" s="391"/>
    </row>
    <row r="17" spans="1:28" s="410" customFormat="1" ht="33" customHeight="1" x14ac:dyDescent="0.2">
      <c r="A17" s="972"/>
      <c r="B17" s="963"/>
      <c r="C17" s="376">
        <v>193</v>
      </c>
      <c r="D17" s="376">
        <v>6</v>
      </c>
      <c r="E17" s="433" t="s">
        <v>321</v>
      </c>
      <c r="F17" s="374">
        <v>81111811</v>
      </c>
      <c r="G17" s="384" t="s">
        <v>53</v>
      </c>
      <c r="H17" s="374" t="s">
        <v>310</v>
      </c>
      <c r="I17" s="374" t="s">
        <v>611</v>
      </c>
      <c r="J17" s="434" t="s">
        <v>63</v>
      </c>
      <c r="K17" s="435">
        <v>12</v>
      </c>
      <c r="L17" s="415" t="s">
        <v>210</v>
      </c>
      <c r="M17" s="415" t="s">
        <v>185</v>
      </c>
      <c r="N17" s="379">
        <f>18000000+175685</f>
        <v>18175685</v>
      </c>
      <c r="O17" s="379"/>
      <c r="P17" s="418">
        <f t="shared" ref="P17:P24" si="1">SUM(N17:O17)</f>
        <v>18175685</v>
      </c>
      <c r="Q17" s="416">
        <v>1</v>
      </c>
      <c r="R17" s="379">
        <v>18175685</v>
      </c>
      <c r="S17" s="419"/>
      <c r="T17" s="419">
        <f>+R17+S17</f>
        <v>18175685</v>
      </c>
      <c r="U17" s="417">
        <v>42822</v>
      </c>
      <c r="V17" s="419">
        <v>40</v>
      </c>
      <c r="W17" s="419" t="s">
        <v>329</v>
      </c>
      <c r="X17" s="391"/>
      <c r="Y17" s="391"/>
      <c r="Z17" s="391"/>
      <c r="AA17" s="391"/>
      <c r="AB17" s="391"/>
    </row>
    <row r="18" spans="1:28" s="410" customFormat="1" ht="50.25" customHeight="1" x14ac:dyDescent="0.2">
      <c r="A18" s="972"/>
      <c r="B18" s="963"/>
      <c r="C18" s="376">
        <v>9</v>
      </c>
      <c r="D18" s="376">
        <v>8</v>
      </c>
      <c r="E18" s="433" t="s">
        <v>54</v>
      </c>
      <c r="F18" s="374">
        <v>81112500</v>
      </c>
      <c r="G18" s="384" t="s">
        <v>53</v>
      </c>
      <c r="H18" s="374" t="s">
        <v>310</v>
      </c>
      <c r="I18" s="374" t="s">
        <v>611</v>
      </c>
      <c r="J18" s="434" t="s">
        <v>72</v>
      </c>
      <c r="K18" s="435">
        <v>12</v>
      </c>
      <c r="L18" s="415" t="s">
        <v>209</v>
      </c>
      <c r="M18" s="415" t="s">
        <v>185</v>
      </c>
      <c r="N18" s="379">
        <v>7647414</v>
      </c>
      <c r="O18" s="379"/>
      <c r="P18" s="418">
        <f t="shared" si="1"/>
        <v>7647414</v>
      </c>
      <c r="Q18" s="416">
        <v>1</v>
      </c>
      <c r="R18" s="379">
        <v>7647414</v>
      </c>
      <c r="S18" s="379"/>
      <c r="T18" s="419">
        <f>+R18</f>
        <v>7647414</v>
      </c>
      <c r="U18" s="417">
        <v>42766</v>
      </c>
      <c r="V18" s="419">
        <v>4</v>
      </c>
      <c r="W18" s="419" t="s">
        <v>231</v>
      </c>
      <c r="X18" s="391"/>
      <c r="Y18" s="391"/>
      <c r="Z18" s="391"/>
      <c r="AA18" s="391"/>
      <c r="AB18" s="391"/>
    </row>
    <row r="19" spans="1:28" s="410" customFormat="1" ht="56.25" customHeight="1" x14ac:dyDescent="0.2">
      <c r="A19" s="972"/>
      <c r="B19" s="963"/>
      <c r="C19" s="374">
        <v>10</v>
      </c>
      <c r="D19" s="376">
        <v>9</v>
      </c>
      <c r="E19" s="441" t="s">
        <v>55</v>
      </c>
      <c r="F19" s="423">
        <v>40101701</v>
      </c>
      <c r="G19" s="384" t="s">
        <v>53</v>
      </c>
      <c r="H19" s="374" t="s">
        <v>310</v>
      </c>
      <c r="I19" s="374" t="s">
        <v>611</v>
      </c>
      <c r="J19" s="423" t="s">
        <v>56</v>
      </c>
      <c r="K19" s="423">
        <v>12</v>
      </c>
      <c r="L19" s="415" t="s">
        <v>211</v>
      </c>
      <c r="M19" s="415" t="s">
        <v>208</v>
      </c>
      <c r="N19" s="418">
        <v>1010000</v>
      </c>
      <c r="O19" s="418"/>
      <c r="P19" s="418">
        <f t="shared" si="1"/>
        <v>1010000</v>
      </c>
      <c r="Q19" s="416">
        <v>1</v>
      </c>
      <c r="R19" s="418">
        <v>1010000</v>
      </c>
      <c r="S19" s="436"/>
      <c r="T19" s="436">
        <f>+R19+S19</f>
        <v>1010000</v>
      </c>
      <c r="U19" s="417">
        <v>42867</v>
      </c>
      <c r="V19" s="419">
        <v>79</v>
      </c>
      <c r="W19" s="436" t="s">
        <v>467</v>
      </c>
      <c r="X19" s="391"/>
      <c r="Y19" s="391"/>
      <c r="Z19" s="391"/>
      <c r="AA19" s="391"/>
      <c r="AB19" s="391"/>
    </row>
    <row r="20" spans="1:28" s="410" customFormat="1" ht="52.5" customHeight="1" x14ac:dyDescent="0.2">
      <c r="A20" s="972"/>
      <c r="B20" s="963"/>
      <c r="C20" s="374">
        <v>12</v>
      </c>
      <c r="D20" s="376">
        <v>13</v>
      </c>
      <c r="E20" s="433" t="s">
        <v>326</v>
      </c>
      <c r="F20" s="374">
        <v>81111812</v>
      </c>
      <c r="G20" s="384" t="s">
        <v>53</v>
      </c>
      <c r="H20" s="374" t="s">
        <v>310</v>
      </c>
      <c r="I20" s="374" t="s">
        <v>611</v>
      </c>
      <c r="J20" s="434" t="s">
        <v>56</v>
      </c>
      <c r="K20" s="435">
        <v>11</v>
      </c>
      <c r="L20" s="415" t="s">
        <v>211</v>
      </c>
      <c r="M20" s="415" t="s">
        <v>97</v>
      </c>
      <c r="N20" s="379">
        <v>5599360</v>
      </c>
      <c r="O20" s="379"/>
      <c r="P20" s="418">
        <f t="shared" si="1"/>
        <v>5599360</v>
      </c>
      <c r="Q20" s="416">
        <v>1</v>
      </c>
      <c r="R20" s="418">
        <v>5599360</v>
      </c>
      <c r="S20" s="419"/>
      <c r="T20" s="436">
        <f>+R20+S20</f>
        <v>5599360</v>
      </c>
      <c r="U20" s="417">
        <v>42867</v>
      </c>
      <c r="V20" s="419">
        <v>80</v>
      </c>
      <c r="W20" s="436" t="s">
        <v>469</v>
      </c>
      <c r="X20" s="391"/>
      <c r="Y20" s="391"/>
      <c r="Z20" s="391"/>
      <c r="AA20" s="391"/>
      <c r="AB20" s="391"/>
    </row>
    <row r="21" spans="1:28" s="410" customFormat="1" ht="33" customHeight="1" x14ac:dyDescent="0.2">
      <c r="A21" s="972"/>
      <c r="B21" s="963"/>
      <c r="C21" s="376">
        <v>15</v>
      </c>
      <c r="D21" s="376">
        <v>11</v>
      </c>
      <c r="E21" s="433" t="s">
        <v>130</v>
      </c>
      <c r="F21" s="374">
        <v>81112501</v>
      </c>
      <c r="G21" s="384" t="s">
        <v>53</v>
      </c>
      <c r="H21" s="374" t="s">
        <v>310</v>
      </c>
      <c r="I21" s="374" t="s">
        <v>611</v>
      </c>
      <c r="J21" s="442" t="s">
        <v>63</v>
      </c>
      <c r="K21" s="443">
        <v>8</v>
      </c>
      <c r="L21" s="415" t="s">
        <v>209</v>
      </c>
      <c r="M21" s="444" t="s">
        <v>189</v>
      </c>
      <c r="N21" s="379">
        <v>14950762</v>
      </c>
      <c r="O21" s="379"/>
      <c r="P21" s="418">
        <f t="shared" si="1"/>
        <v>14950762</v>
      </c>
      <c r="Q21" s="416">
        <v>1</v>
      </c>
      <c r="R21" s="379">
        <v>14950762</v>
      </c>
      <c r="S21" s="419"/>
      <c r="T21" s="419">
        <v>14950762</v>
      </c>
      <c r="U21" s="417">
        <v>42832</v>
      </c>
      <c r="V21" s="419">
        <v>44</v>
      </c>
      <c r="W21" s="419" t="s">
        <v>370</v>
      </c>
      <c r="X21" s="391"/>
      <c r="Y21" s="391"/>
      <c r="Z21" s="391"/>
      <c r="AA21" s="391"/>
      <c r="AB21" s="391"/>
    </row>
    <row r="22" spans="1:28" s="410" customFormat="1" ht="66.75" customHeight="1" x14ac:dyDescent="0.2">
      <c r="A22" s="972"/>
      <c r="B22" s="963"/>
      <c r="C22" s="374">
        <v>306</v>
      </c>
      <c r="D22" s="374">
        <v>15</v>
      </c>
      <c r="E22" s="433" t="s">
        <v>704</v>
      </c>
      <c r="F22" s="374" t="s">
        <v>609</v>
      </c>
      <c r="G22" s="384" t="s">
        <v>53</v>
      </c>
      <c r="H22" s="374" t="s">
        <v>310</v>
      </c>
      <c r="I22" s="374" t="s">
        <v>611</v>
      </c>
      <c r="J22" s="442" t="s">
        <v>99</v>
      </c>
      <c r="K22" s="443">
        <v>12</v>
      </c>
      <c r="L22" s="415" t="s">
        <v>707</v>
      </c>
      <c r="M22" s="415" t="s">
        <v>707</v>
      </c>
      <c r="N22" s="379">
        <v>35000390</v>
      </c>
      <c r="O22" s="379"/>
      <c r="P22" s="418">
        <f>+N22+O22</f>
        <v>35000390</v>
      </c>
      <c r="Q22" s="416"/>
      <c r="R22" s="379">
        <v>35000390</v>
      </c>
      <c r="S22" s="419"/>
      <c r="T22" s="419">
        <f>+R22+S22</f>
        <v>35000390</v>
      </c>
      <c r="U22" s="417">
        <v>43042</v>
      </c>
      <c r="V22" s="419">
        <v>113</v>
      </c>
      <c r="W22" s="419" t="s">
        <v>724</v>
      </c>
      <c r="X22" s="391"/>
      <c r="Y22" s="391"/>
      <c r="Z22" s="391"/>
      <c r="AA22" s="391"/>
      <c r="AB22" s="391"/>
    </row>
    <row r="23" spans="1:28" s="410" customFormat="1" ht="33" customHeight="1" x14ac:dyDescent="0.2">
      <c r="A23" s="972"/>
      <c r="B23" s="963"/>
      <c r="C23" s="426"/>
      <c r="D23" s="426"/>
      <c r="E23" s="787" t="s">
        <v>722</v>
      </c>
      <c r="F23" s="783"/>
      <c r="G23" s="788"/>
      <c r="H23" s="783"/>
      <c r="I23" s="783"/>
      <c r="J23" s="792"/>
      <c r="K23" s="793"/>
      <c r="L23" s="785"/>
      <c r="M23" s="785"/>
      <c r="N23" s="791">
        <f>42483000-R22-7482610</f>
        <v>0</v>
      </c>
      <c r="O23" s="791"/>
      <c r="P23" s="786">
        <f>+N23+O23</f>
        <v>0</v>
      </c>
      <c r="Q23" s="416"/>
      <c r="R23" s="379"/>
      <c r="S23" s="419"/>
      <c r="T23" s="419"/>
      <c r="U23" s="417"/>
      <c r="V23" s="419"/>
      <c r="W23" s="419"/>
      <c r="X23" s="391"/>
      <c r="Y23" s="391"/>
      <c r="Z23" s="391"/>
      <c r="AA23" s="391"/>
      <c r="AB23" s="391"/>
    </row>
    <row r="24" spans="1:28" s="410" customFormat="1" ht="33" customHeight="1" x14ac:dyDescent="0.2">
      <c r="A24" s="972"/>
      <c r="B24" s="963"/>
      <c r="C24" s="374">
        <v>274</v>
      </c>
      <c r="D24" s="376">
        <v>17</v>
      </c>
      <c r="E24" s="445" t="s">
        <v>486</v>
      </c>
      <c r="F24" s="374" t="s">
        <v>609</v>
      </c>
      <c r="G24" s="384" t="s">
        <v>53</v>
      </c>
      <c r="H24" s="374" t="s">
        <v>310</v>
      </c>
      <c r="I24" s="374" t="s">
        <v>611</v>
      </c>
      <c r="J24" s="442" t="s">
        <v>77</v>
      </c>
      <c r="K24" s="443">
        <v>3</v>
      </c>
      <c r="L24" s="415" t="s">
        <v>97</v>
      </c>
      <c r="M24" s="415" t="s">
        <v>97</v>
      </c>
      <c r="N24" s="379">
        <f>7646023-178500-7467523</f>
        <v>0</v>
      </c>
      <c r="O24" s="379"/>
      <c r="P24" s="418">
        <f t="shared" si="1"/>
        <v>0</v>
      </c>
      <c r="Q24" s="416"/>
      <c r="R24" s="379"/>
      <c r="S24" s="419"/>
      <c r="T24" s="419"/>
      <c r="U24" s="417"/>
      <c r="V24" s="419"/>
      <c r="W24" s="419"/>
      <c r="X24" s="391"/>
      <c r="Y24" s="391"/>
      <c r="Z24" s="391"/>
      <c r="AA24" s="391"/>
      <c r="AB24" s="391"/>
    </row>
    <row r="25" spans="1:28" s="410" customFormat="1" ht="33" customHeight="1" x14ac:dyDescent="0.2">
      <c r="A25" s="972"/>
      <c r="B25" s="446"/>
      <c r="C25" s="374">
        <v>294</v>
      </c>
      <c r="D25" s="376"/>
      <c r="E25" s="445" t="s">
        <v>546</v>
      </c>
      <c r="F25" s="374"/>
      <c r="G25" s="377"/>
      <c r="H25" s="376"/>
      <c r="I25" s="376"/>
      <c r="J25" s="442"/>
      <c r="K25" s="443"/>
      <c r="L25" s="417"/>
      <c r="M25" s="444"/>
      <c r="N25" s="419">
        <v>178500</v>
      </c>
      <c r="O25" s="419"/>
      <c r="P25" s="436">
        <f>+N25+O25</f>
        <v>178500</v>
      </c>
      <c r="Q25" s="416"/>
      <c r="R25" s="379">
        <v>178500</v>
      </c>
      <c r="S25" s="419"/>
      <c r="T25" s="419">
        <f>+R25+S25</f>
        <v>178500</v>
      </c>
      <c r="U25" s="417">
        <v>42930</v>
      </c>
      <c r="V25" s="419" t="s">
        <v>549</v>
      </c>
      <c r="W25" s="419" t="s">
        <v>548</v>
      </c>
      <c r="X25" s="391"/>
      <c r="Y25" s="391"/>
      <c r="Z25" s="391"/>
      <c r="AA25" s="391"/>
      <c r="AB25" s="391"/>
    </row>
    <row r="26" spans="1:28" s="410" customFormat="1" ht="33" customHeight="1" x14ac:dyDescent="0.2">
      <c r="A26" s="972"/>
      <c r="B26" s="964" t="s">
        <v>192</v>
      </c>
      <c r="C26" s="965"/>
      <c r="D26" s="965"/>
      <c r="E26" s="965"/>
      <c r="F26" s="965"/>
      <c r="G26" s="965"/>
      <c r="H26" s="965"/>
      <c r="I26" s="965"/>
      <c r="J26" s="965"/>
      <c r="K26" s="965"/>
      <c r="L26" s="430"/>
      <c r="M26" s="431"/>
      <c r="N26" s="432">
        <f>SUM(N14:N25)</f>
        <v>143951390</v>
      </c>
      <c r="O26" s="432">
        <f>SUM(O14:O24)</f>
        <v>0</v>
      </c>
      <c r="P26" s="432">
        <f t="shared" ref="P26" si="2">+N26+O26</f>
        <v>143951390</v>
      </c>
      <c r="Q26" s="432"/>
      <c r="R26" s="432">
        <f>SUM(R14:R25)</f>
        <v>143947666</v>
      </c>
      <c r="S26" s="432"/>
      <c r="T26" s="432">
        <f>SUM(T14:T25)</f>
        <v>143947666</v>
      </c>
      <c r="U26" s="432"/>
      <c r="V26" s="432"/>
      <c r="W26" s="432"/>
      <c r="X26" s="391"/>
      <c r="Y26" s="391"/>
      <c r="Z26" s="391"/>
      <c r="AA26" s="391"/>
      <c r="AB26" s="391"/>
    </row>
    <row r="27" spans="1:28" s="410" customFormat="1" ht="33" customHeight="1" x14ac:dyDescent="0.2">
      <c r="A27" s="960">
        <v>120103</v>
      </c>
      <c r="B27" s="962" t="s">
        <v>145</v>
      </c>
      <c r="C27" s="376">
        <v>312</v>
      </c>
      <c r="D27" s="376">
        <v>34</v>
      </c>
      <c r="E27" s="413" t="s">
        <v>720</v>
      </c>
      <c r="F27" s="376" t="s">
        <v>725</v>
      </c>
      <c r="G27" s="376" t="s">
        <v>28</v>
      </c>
      <c r="H27" s="376" t="s">
        <v>312</v>
      </c>
      <c r="I27" s="374" t="s">
        <v>582</v>
      </c>
      <c r="J27" s="434" t="s">
        <v>99</v>
      </c>
      <c r="K27" s="435">
        <v>3</v>
      </c>
      <c r="L27" s="415" t="s">
        <v>211</v>
      </c>
      <c r="M27" s="415" t="s">
        <v>184</v>
      </c>
      <c r="N27" s="418">
        <v>6541588</v>
      </c>
      <c r="O27" s="418"/>
      <c r="P27" s="418">
        <f>+N27</f>
        <v>6541588</v>
      </c>
      <c r="Q27" s="436"/>
      <c r="R27" s="436">
        <v>6541588</v>
      </c>
      <c r="S27" s="436"/>
      <c r="T27" s="436">
        <f>+R27+S27</f>
        <v>6541588</v>
      </c>
      <c r="U27" s="436"/>
      <c r="V27" s="436"/>
      <c r="W27" s="436"/>
      <c r="X27" s="391"/>
      <c r="Y27" s="391"/>
      <c r="Z27" s="391"/>
      <c r="AA27" s="391"/>
      <c r="AB27" s="391"/>
    </row>
    <row r="28" spans="1:28" s="410" customFormat="1" ht="33" customHeight="1" x14ac:dyDescent="0.2">
      <c r="A28" s="961"/>
      <c r="B28" s="969"/>
      <c r="C28" s="376"/>
      <c r="D28" s="376"/>
      <c r="E28" s="782" t="s">
        <v>547</v>
      </c>
      <c r="F28" s="783"/>
      <c r="G28" s="783"/>
      <c r="H28" s="783"/>
      <c r="I28" s="783"/>
      <c r="J28" s="789"/>
      <c r="K28" s="790"/>
      <c r="L28" s="785"/>
      <c r="M28" s="785"/>
      <c r="N28" s="786">
        <f>6600000-N27</f>
        <v>58412</v>
      </c>
      <c r="O28" s="786"/>
      <c r="P28" s="786">
        <f>+N28+O28</f>
        <v>58412</v>
      </c>
      <c r="Q28" s="436"/>
      <c r="R28" s="436"/>
      <c r="S28" s="436"/>
      <c r="T28" s="436"/>
      <c r="U28" s="436"/>
      <c r="V28" s="436"/>
      <c r="W28" s="436"/>
      <c r="X28" s="391"/>
      <c r="Y28" s="391"/>
      <c r="Z28" s="391"/>
      <c r="AA28" s="391"/>
      <c r="AB28" s="391"/>
    </row>
    <row r="29" spans="1:28" s="410" customFormat="1" ht="33" customHeight="1" x14ac:dyDescent="0.2">
      <c r="A29" s="429"/>
      <c r="B29" s="964" t="s">
        <v>192</v>
      </c>
      <c r="C29" s="965"/>
      <c r="D29" s="965"/>
      <c r="E29" s="965"/>
      <c r="F29" s="965"/>
      <c r="G29" s="965"/>
      <c r="H29" s="965"/>
      <c r="I29" s="965"/>
      <c r="J29" s="965"/>
      <c r="K29" s="965"/>
      <c r="L29" s="431"/>
      <c r="M29" s="431"/>
      <c r="N29" s="432">
        <f>+N27+N28</f>
        <v>6600000</v>
      </c>
      <c r="O29" s="432">
        <f t="shared" ref="O29" si="3">SUM(O27)</f>
        <v>0</v>
      </c>
      <c r="P29" s="432">
        <f>+N29+O29</f>
        <v>6600000</v>
      </c>
      <c r="Q29" s="432"/>
      <c r="R29" s="432">
        <f>+R27+R28</f>
        <v>6541588</v>
      </c>
      <c r="S29" s="432"/>
      <c r="T29" s="432">
        <f>+R27</f>
        <v>6541588</v>
      </c>
      <c r="U29" s="432"/>
      <c r="V29" s="432"/>
      <c r="W29" s="432"/>
      <c r="X29" s="391"/>
      <c r="Y29" s="391"/>
      <c r="Z29" s="391"/>
      <c r="AA29" s="391"/>
      <c r="AB29" s="391"/>
    </row>
    <row r="30" spans="1:28" s="410" customFormat="1" ht="56.25" customHeight="1" x14ac:dyDescent="0.2">
      <c r="A30" s="972">
        <v>120104</v>
      </c>
      <c r="B30" s="971" t="s">
        <v>144</v>
      </c>
      <c r="C30" s="376">
        <v>313</v>
      </c>
      <c r="D30" s="376">
        <v>43</v>
      </c>
      <c r="E30" s="413" t="s">
        <v>721</v>
      </c>
      <c r="F30" s="376" t="s">
        <v>57</v>
      </c>
      <c r="G30" s="376" t="s">
        <v>28</v>
      </c>
      <c r="H30" s="376" t="s">
        <v>312</v>
      </c>
      <c r="I30" s="376" t="s">
        <v>583</v>
      </c>
      <c r="J30" s="447" t="s">
        <v>713</v>
      </c>
      <c r="K30" s="416">
        <v>2</v>
      </c>
      <c r="L30" s="417" t="s">
        <v>209</v>
      </c>
      <c r="M30" s="448" t="s">
        <v>208</v>
      </c>
      <c r="N30" s="418">
        <v>4881212</v>
      </c>
      <c r="O30" s="418"/>
      <c r="P30" s="418">
        <f>+N30</f>
        <v>4881212</v>
      </c>
      <c r="Q30" s="436"/>
      <c r="R30" s="436">
        <v>4881212</v>
      </c>
      <c r="S30" s="436"/>
      <c r="T30" s="436">
        <f>+R30+S30</f>
        <v>4881212</v>
      </c>
      <c r="U30" s="417">
        <v>43075</v>
      </c>
      <c r="V30" s="416">
        <v>116</v>
      </c>
      <c r="W30" s="436" t="s">
        <v>741</v>
      </c>
      <c r="X30" s="391"/>
      <c r="Y30" s="391"/>
      <c r="Z30" s="391"/>
      <c r="AA30" s="391"/>
      <c r="AB30" s="391"/>
    </row>
    <row r="31" spans="1:28" s="410" customFormat="1" ht="33" customHeight="1" x14ac:dyDescent="0.2">
      <c r="A31" s="972"/>
      <c r="B31" s="971"/>
      <c r="C31" s="780"/>
      <c r="D31" s="780"/>
      <c r="E31" s="413" t="s">
        <v>547</v>
      </c>
      <c r="F31" s="780"/>
      <c r="G31" s="780"/>
      <c r="H31" s="780"/>
      <c r="I31" s="780"/>
      <c r="J31" s="447"/>
      <c r="K31" s="416"/>
      <c r="L31" s="417"/>
      <c r="M31" s="448"/>
      <c r="N31" s="418">
        <f>8000000-R30</f>
        <v>3118788</v>
      </c>
      <c r="O31" s="418"/>
      <c r="P31" s="418">
        <f>+N31+O31</f>
        <v>3118788</v>
      </c>
      <c r="Q31" s="436"/>
      <c r="R31" s="436"/>
      <c r="S31" s="436"/>
      <c r="T31" s="436"/>
      <c r="U31" s="417"/>
      <c r="V31" s="416"/>
      <c r="W31" s="436"/>
      <c r="X31" s="391"/>
      <c r="Y31" s="391"/>
      <c r="Z31" s="391"/>
      <c r="AA31" s="391"/>
      <c r="AB31" s="391"/>
    </row>
    <row r="32" spans="1:28" s="410" customFormat="1" ht="33" customHeight="1" x14ac:dyDescent="0.2">
      <c r="A32" s="972"/>
      <c r="B32" s="971"/>
      <c r="C32" s="376"/>
      <c r="D32" s="376"/>
      <c r="E32" s="413" t="s">
        <v>59</v>
      </c>
      <c r="F32" s="376" t="s">
        <v>127</v>
      </c>
      <c r="G32" s="376" t="s">
        <v>60</v>
      </c>
      <c r="H32" s="376" t="s">
        <v>312</v>
      </c>
      <c r="I32" s="376"/>
      <c r="J32" s="447" t="s">
        <v>51</v>
      </c>
      <c r="K32" s="416">
        <v>11</v>
      </c>
      <c r="L32" s="449" t="s">
        <v>24</v>
      </c>
      <c r="M32" s="449" t="s">
        <v>186</v>
      </c>
      <c r="N32" s="436">
        <v>2750000</v>
      </c>
      <c r="O32" s="436"/>
      <c r="P32" s="436">
        <f>+N32</f>
        <v>2750000</v>
      </c>
      <c r="Q32" s="436"/>
      <c r="R32" s="418">
        <f>175500+159000+49300+56300+80000+120000+120400+174000+17850+163300</f>
        <v>1115650</v>
      </c>
      <c r="S32" s="436"/>
      <c r="T32" s="436">
        <f>+R32</f>
        <v>1115650</v>
      </c>
      <c r="U32" s="436"/>
      <c r="V32" s="436"/>
      <c r="W32" s="436"/>
      <c r="X32" s="391"/>
      <c r="Y32" s="391"/>
      <c r="Z32" s="391"/>
      <c r="AA32" s="391"/>
      <c r="AB32" s="391"/>
    </row>
    <row r="33" spans="1:28" s="410" customFormat="1" ht="33" customHeight="1" x14ac:dyDescent="0.2">
      <c r="A33" s="972"/>
      <c r="B33" s="964" t="s">
        <v>192</v>
      </c>
      <c r="C33" s="965"/>
      <c r="D33" s="965"/>
      <c r="E33" s="965"/>
      <c r="F33" s="965"/>
      <c r="G33" s="965"/>
      <c r="H33" s="965"/>
      <c r="I33" s="965"/>
      <c r="J33" s="965"/>
      <c r="K33" s="965"/>
      <c r="L33" s="430"/>
      <c r="M33" s="431"/>
      <c r="N33" s="432">
        <f t="shared" ref="N33:P33" si="4">SUM(N30:N32)</f>
        <v>10750000</v>
      </c>
      <c r="O33" s="432">
        <f t="shared" si="4"/>
        <v>0</v>
      </c>
      <c r="P33" s="432">
        <f t="shared" si="4"/>
        <v>10750000</v>
      </c>
      <c r="Q33" s="432"/>
      <c r="R33" s="432">
        <f>SUM(R30:R32)</f>
        <v>5996862</v>
      </c>
      <c r="S33" s="432"/>
      <c r="T33" s="432">
        <f>SUM(T30:T32)</f>
        <v>5996862</v>
      </c>
      <c r="U33" s="432"/>
      <c r="V33" s="432"/>
      <c r="W33" s="432"/>
      <c r="X33" s="391"/>
      <c r="Y33" s="391"/>
      <c r="Z33" s="391"/>
      <c r="AA33" s="391"/>
      <c r="AB33" s="391"/>
    </row>
    <row r="34" spans="1:28" s="410" customFormat="1" ht="33" customHeight="1" x14ac:dyDescent="0.2">
      <c r="A34" s="970" t="s">
        <v>219</v>
      </c>
      <c r="B34" s="970"/>
      <c r="C34" s="970"/>
      <c r="D34" s="970"/>
      <c r="E34" s="970"/>
      <c r="F34" s="970"/>
      <c r="G34" s="970"/>
      <c r="H34" s="970"/>
      <c r="I34" s="970"/>
      <c r="J34" s="970"/>
      <c r="K34" s="970"/>
      <c r="L34" s="970"/>
      <c r="M34" s="450"/>
      <c r="N34" s="451">
        <f>+N13+N26+N29+N33</f>
        <v>164160390</v>
      </c>
      <c r="O34" s="451">
        <f>+O13+O26+O29+O33</f>
        <v>0</v>
      </c>
      <c r="P34" s="451">
        <f>+P13+P26+P29+P33</f>
        <v>164160390</v>
      </c>
      <c r="Q34" s="451"/>
      <c r="R34" s="451">
        <f>+R13+R26+R29+R33</f>
        <v>158762953</v>
      </c>
      <c r="S34" s="451"/>
      <c r="T34" s="451">
        <f>+T13+T26+T29+T33</f>
        <v>158762953</v>
      </c>
      <c r="U34" s="451"/>
      <c r="V34" s="451"/>
      <c r="W34" s="451"/>
      <c r="X34" s="391"/>
      <c r="Y34" s="391"/>
      <c r="Z34" s="391"/>
      <c r="AA34" s="391"/>
      <c r="AB34" s="391"/>
    </row>
    <row r="35" spans="1:28" s="410" customFormat="1" ht="33" customHeight="1" x14ac:dyDescent="0.25">
      <c r="A35" s="960">
        <v>120201</v>
      </c>
      <c r="B35" s="971" t="s">
        <v>143</v>
      </c>
      <c r="C35" s="376">
        <v>175</v>
      </c>
      <c r="D35" s="376">
        <v>23</v>
      </c>
      <c r="E35" s="452" t="s">
        <v>252</v>
      </c>
      <c r="F35" s="453">
        <v>80131502</v>
      </c>
      <c r="G35" s="378" t="s">
        <v>28</v>
      </c>
      <c r="H35" s="376" t="s">
        <v>312</v>
      </c>
      <c r="I35" s="414" t="s">
        <v>584</v>
      </c>
      <c r="J35" s="447" t="s">
        <v>51</v>
      </c>
      <c r="K35" s="416">
        <v>11</v>
      </c>
      <c r="L35" s="417" t="s">
        <v>210</v>
      </c>
      <c r="M35" s="415" t="s">
        <v>185</v>
      </c>
      <c r="N35" s="454">
        <v>58195071</v>
      </c>
      <c r="O35" s="436"/>
      <c r="P35" s="418">
        <f>+N35</f>
        <v>58195071</v>
      </c>
      <c r="Q35" s="416">
        <v>1</v>
      </c>
      <c r="R35" s="455">
        <v>58195071</v>
      </c>
      <c r="S35" s="455"/>
      <c r="T35" s="436">
        <f>+R35</f>
        <v>58195071</v>
      </c>
      <c r="U35" s="417">
        <v>42797</v>
      </c>
      <c r="V35" s="416">
        <v>22</v>
      </c>
      <c r="W35" s="436" t="s">
        <v>272</v>
      </c>
      <c r="X35" s="382"/>
      <c r="Y35" s="391"/>
      <c r="Z35" s="391"/>
      <c r="AA35" s="391"/>
      <c r="AB35" s="391"/>
    </row>
    <row r="36" spans="1:28" s="410" customFormat="1" ht="33" customHeight="1" x14ac:dyDescent="0.2">
      <c r="A36" s="959"/>
      <c r="B36" s="971"/>
      <c r="C36" s="376">
        <v>176</v>
      </c>
      <c r="D36" s="376">
        <v>24</v>
      </c>
      <c r="E36" s="452" t="s">
        <v>253</v>
      </c>
      <c r="F36" s="453">
        <v>80131502</v>
      </c>
      <c r="G36" s="378" t="s">
        <v>28</v>
      </c>
      <c r="H36" s="376" t="s">
        <v>312</v>
      </c>
      <c r="I36" s="376" t="s">
        <v>583</v>
      </c>
      <c r="J36" s="447" t="s">
        <v>51</v>
      </c>
      <c r="K36" s="416">
        <v>11</v>
      </c>
      <c r="L36" s="417" t="s">
        <v>210</v>
      </c>
      <c r="M36" s="415" t="s">
        <v>185</v>
      </c>
      <c r="N36" s="454">
        <v>83061088</v>
      </c>
      <c r="O36" s="436"/>
      <c r="P36" s="418">
        <f t="shared" ref="P36:P39" si="5">+N36</f>
        <v>83061088</v>
      </c>
      <c r="Q36" s="416">
        <v>1</v>
      </c>
      <c r="R36" s="455">
        <v>83061088</v>
      </c>
      <c r="S36" s="455"/>
      <c r="T36" s="436">
        <f>+R36</f>
        <v>83061088</v>
      </c>
      <c r="U36" s="417">
        <v>42797</v>
      </c>
      <c r="V36" s="416">
        <v>25</v>
      </c>
      <c r="W36" s="436" t="s">
        <v>272</v>
      </c>
      <c r="X36" s="391"/>
      <c r="Y36" s="391"/>
      <c r="Z36" s="391"/>
      <c r="AA36" s="391"/>
      <c r="AB36" s="391"/>
    </row>
    <row r="37" spans="1:28" s="410" customFormat="1" ht="33" customHeight="1" x14ac:dyDescent="0.2">
      <c r="A37" s="959"/>
      <c r="B37" s="971"/>
      <c r="C37" s="376">
        <v>177</v>
      </c>
      <c r="D37" s="376">
        <v>26</v>
      </c>
      <c r="E37" s="452" t="s">
        <v>254</v>
      </c>
      <c r="F37" s="453">
        <v>80131502</v>
      </c>
      <c r="G37" s="378" t="s">
        <v>28</v>
      </c>
      <c r="H37" s="376" t="s">
        <v>312</v>
      </c>
      <c r="I37" s="376" t="s">
        <v>582</v>
      </c>
      <c r="J37" s="447" t="s">
        <v>51</v>
      </c>
      <c r="K37" s="416">
        <v>11</v>
      </c>
      <c r="L37" s="417" t="s">
        <v>210</v>
      </c>
      <c r="M37" s="415" t="s">
        <v>185</v>
      </c>
      <c r="N37" s="456">
        <v>125014362</v>
      </c>
      <c r="O37" s="418"/>
      <c r="P37" s="418">
        <f t="shared" si="5"/>
        <v>125014362</v>
      </c>
      <c r="Q37" s="416">
        <v>1</v>
      </c>
      <c r="R37" s="455">
        <v>125014362</v>
      </c>
      <c r="S37" s="455"/>
      <c r="T37" s="436">
        <f>+R37</f>
        <v>125014362</v>
      </c>
      <c r="U37" s="417">
        <v>42797</v>
      </c>
      <c r="V37" s="416">
        <v>23</v>
      </c>
      <c r="W37" s="436" t="s">
        <v>272</v>
      </c>
      <c r="X37" s="391"/>
      <c r="Y37" s="391"/>
      <c r="Z37" s="391"/>
      <c r="AA37" s="391"/>
      <c r="AB37" s="391"/>
    </row>
    <row r="38" spans="1:28" s="410" customFormat="1" ht="33" customHeight="1" x14ac:dyDescent="0.2">
      <c r="A38" s="959"/>
      <c r="B38" s="971"/>
      <c r="C38" s="376">
        <v>178</v>
      </c>
      <c r="D38" s="376">
        <v>28</v>
      </c>
      <c r="E38" s="452" t="s">
        <v>255</v>
      </c>
      <c r="F38" s="453">
        <v>80131502</v>
      </c>
      <c r="G38" s="378" t="s">
        <v>28</v>
      </c>
      <c r="H38" s="376" t="s">
        <v>312</v>
      </c>
      <c r="I38" s="376" t="s">
        <v>583</v>
      </c>
      <c r="J38" s="447" t="s">
        <v>51</v>
      </c>
      <c r="K38" s="416">
        <v>11</v>
      </c>
      <c r="L38" s="417" t="s">
        <v>210</v>
      </c>
      <c r="M38" s="415" t="s">
        <v>185</v>
      </c>
      <c r="N38" s="457">
        <v>82400769</v>
      </c>
      <c r="O38" s="436"/>
      <c r="P38" s="436">
        <f t="shared" si="5"/>
        <v>82400769</v>
      </c>
      <c r="Q38" s="416">
        <v>1</v>
      </c>
      <c r="R38" s="455">
        <v>82400769</v>
      </c>
      <c r="S38" s="455"/>
      <c r="T38" s="436">
        <f>+R38</f>
        <v>82400769</v>
      </c>
      <c r="U38" s="417">
        <v>42797</v>
      </c>
      <c r="V38" s="416">
        <v>24</v>
      </c>
      <c r="W38" s="436" t="s">
        <v>272</v>
      </c>
      <c r="X38" s="420"/>
      <c r="Y38" s="391"/>
      <c r="Z38" s="391"/>
      <c r="AA38" s="391"/>
      <c r="AB38" s="391"/>
    </row>
    <row r="39" spans="1:28" s="410" customFormat="1" ht="33" customHeight="1" x14ac:dyDescent="0.2">
      <c r="A39" s="959"/>
      <c r="B39" s="971"/>
      <c r="C39" s="376">
        <v>24</v>
      </c>
      <c r="D39" s="376"/>
      <c r="E39" s="458" t="s">
        <v>62</v>
      </c>
      <c r="F39" s="453" t="s">
        <v>127</v>
      </c>
      <c r="G39" s="378" t="s">
        <v>28</v>
      </c>
      <c r="H39" s="376" t="s">
        <v>312</v>
      </c>
      <c r="I39" s="376" t="s">
        <v>583</v>
      </c>
      <c r="J39" s="447" t="s">
        <v>72</v>
      </c>
      <c r="K39" s="416">
        <v>12</v>
      </c>
      <c r="L39" s="449" t="s">
        <v>24</v>
      </c>
      <c r="M39" s="449" t="s">
        <v>186</v>
      </c>
      <c r="N39" s="455">
        <f>40150000+3955710</f>
        <v>44105710</v>
      </c>
      <c r="O39" s="436"/>
      <c r="P39" s="418">
        <f t="shared" si="5"/>
        <v>44105710</v>
      </c>
      <c r="Q39" s="416">
        <v>1</v>
      </c>
      <c r="R39" s="459">
        <f>6515526+3257763+3288210+3288210+3288210+3288210+3288210+3288210+2171693+1116517+3288210</f>
        <v>36078969</v>
      </c>
      <c r="S39" s="455"/>
      <c r="T39" s="436">
        <f>+R39</f>
        <v>36078969</v>
      </c>
      <c r="U39" s="436"/>
      <c r="V39" s="455"/>
      <c r="W39" s="436"/>
      <c r="X39" s="391"/>
      <c r="Y39" s="391"/>
      <c r="Z39" s="391"/>
      <c r="AA39" s="391"/>
      <c r="AB39" s="391"/>
    </row>
    <row r="40" spans="1:28" s="410" customFormat="1" ht="33" customHeight="1" x14ac:dyDescent="0.2">
      <c r="A40" s="961"/>
      <c r="B40" s="964" t="s">
        <v>192</v>
      </c>
      <c r="C40" s="965"/>
      <c r="D40" s="965"/>
      <c r="E40" s="965"/>
      <c r="F40" s="965"/>
      <c r="G40" s="965"/>
      <c r="H40" s="965"/>
      <c r="I40" s="965"/>
      <c r="J40" s="965"/>
      <c r="K40" s="965"/>
      <c r="L40" s="430"/>
      <c r="M40" s="431"/>
      <c r="N40" s="460">
        <f>SUM(N35:N39)</f>
        <v>392777000</v>
      </c>
      <c r="O40" s="460">
        <f>SUM(O35:O39)</f>
        <v>0</v>
      </c>
      <c r="P40" s="460">
        <f>SUM(P35:P39)</f>
        <v>392777000</v>
      </c>
      <c r="Q40" s="460"/>
      <c r="R40" s="460">
        <f>SUM(R35:R39)</f>
        <v>384750259</v>
      </c>
      <c r="S40" s="460"/>
      <c r="T40" s="460">
        <f>SUM(T35:T39)</f>
        <v>384750259</v>
      </c>
      <c r="U40" s="460"/>
      <c r="V40" s="460"/>
      <c r="W40" s="460"/>
      <c r="X40" s="391"/>
      <c r="Y40" s="391"/>
      <c r="Z40" s="391"/>
      <c r="AA40" s="391"/>
      <c r="AB40" s="391"/>
    </row>
    <row r="41" spans="1:28" s="410" customFormat="1" ht="33" customHeight="1" x14ac:dyDescent="0.2">
      <c r="A41" s="960">
        <v>120203</v>
      </c>
      <c r="B41" s="971" t="s">
        <v>142</v>
      </c>
      <c r="C41" s="376">
        <v>25</v>
      </c>
      <c r="D41" s="376">
        <v>28</v>
      </c>
      <c r="E41" s="461" t="s">
        <v>216</v>
      </c>
      <c r="F41" s="374">
        <v>81112101</v>
      </c>
      <c r="G41" s="374" t="s">
        <v>53</v>
      </c>
      <c r="H41" s="374" t="s">
        <v>310</v>
      </c>
      <c r="I41" s="374" t="s">
        <v>581</v>
      </c>
      <c r="J41" s="434" t="s">
        <v>51</v>
      </c>
      <c r="K41" s="435">
        <v>10</v>
      </c>
      <c r="L41" s="415" t="s">
        <v>210</v>
      </c>
      <c r="M41" s="415" t="s">
        <v>185</v>
      </c>
      <c r="N41" s="379">
        <v>23192040</v>
      </c>
      <c r="O41" s="418"/>
      <c r="P41" s="418">
        <f t="shared" ref="P41:P46" si="6">+N41+O41</f>
        <v>23192040</v>
      </c>
      <c r="Q41" s="416">
        <v>1</v>
      </c>
      <c r="R41" s="379">
        <v>23192040</v>
      </c>
      <c r="S41" s="379"/>
      <c r="T41" s="418">
        <f>+R41</f>
        <v>23192040</v>
      </c>
      <c r="U41" s="417">
        <v>42782</v>
      </c>
      <c r="V41" s="379">
        <v>5</v>
      </c>
      <c r="W41" s="418" t="s">
        <v>243</v>
      </c>
      <c r="X41" s="391"/>
      <c r="Y41" s="391"/>
      <c r="Z41" s="391"/>
      <c r="AA41" s="391"/>
      <c r="AB41" s="391"/>
    </row>
    <row r="42" spans="1:28" s="410" customFormat="1" ht="33" customHeight="1" x14ac:dyDescent="0.2">
      <c r="A42" s="959"/>
      <c r="B42" s="971"/>
      <c r="C42" s="376"/>
      <c r="D42" s="376"/>
      <c r="E42" s="462" t="s">
        <v>395</v>
      </c>
      <c r="F42" s="374">
        <v>81112102</v>
      </c>
      <c r="G42" s="374" t="s">
        <v>53</v>
      </c>
      <c r="H42" s="374" t="s">
        <v>310</v>
      </c>
      <c r="I42" s="374" t="s">
        <v>581</v>
      </c>
      <c r="J42" s="463"/>
      <c r="K42" s="464"/>
      <c r="L42" s="465"/>
      <c r="M42" s="466"/>
      <c r="N42" s="440">
        <f>256-256</f>
        <v>0</v>
      </c>
      <c r="O42" s="418"/>
      <c r="P42" s="467">
        <f t="shared" si="6"/>
        <v>0</v>
      </c>
      <c r="Q42" s="416"/>
      <c r="R42" s="379"/>
      <c r="S42" s="379"/>
      <c r="T42" s="418"/>
      <c r="U42" s="417"/>
      <c r="V42" s="379"/>
      <c r="W42" s="418"/>
      <c r="X42" s="391"/>
      <c r="Y42" s="391"/>
      <c r="Z42" s="391"/>
      <c r="AA42" s="391"/>
      <c r="AB42" s="391"/>
    </row>
    <row r="43" spans="1:28" s="410" customFormat="1" ht="57" customHeight="1" x14ac:dyDescent="0.2">
      <c r="A43" s="959"/>
      <c r="B43" s="971"/>
      <c r="C43" s="376">
        <v>272</v>
      </c>
      <c r="D43" s="376"/>
      <c r="E43" s="468" t="s">
        <v>487</v>
      </c>
      <c r="F43" s="374">
        <v>81112103</v>
      </c>
      <c r="G43" s="374" t="s">
        <v>53</v>
      </c>
      <c r="H43" s="374" t="s">
        <v>310</v>
      </c>
      <c r="I43" s="374" t="s">
        <v>581</v>
      </c>
      <c r="J43" s="438" t="s">
        <v>488</v>
      </c>
      <c r="K43" s="439">
        <v>1</v>
      </c>
      <c r="L43" s="427" t="s">
        <v>210</v>
      </c>
      <c r="M43" s="469"/>
      <c r="N43" s="440">
        <f>2319204-2319204</f>
        <v>0</v>
      </c>
      <c r="O43" s="428"/>
      <c r="P43" s="428">
        <f t="shared" si="6"/>
        <v>0</v>
      </c>
      <c r="Q43" s="416"/>
      <c r="R43" s="379"/>
      <c r="S43" s="379"/>
      <c r="T43" s="418"/>
      <c r="U43" s="417"/>
      <c r="V43" s="379"/>
      <c r="W43" s="418"/>
      <c r="X43" s="391"/>
      <c r="Y43" s="391"/>
      <c r="Z43" s="391"/>
      <c r="AA43" s="391"/>
      <c r="AB43" s="391"/>
    </row>
    <row r="44" spans="1:28" s="410" customFormat="1" ht="33" customHeight="1" x14ac:dyDescent="0.2">
      <c r="A44" s="959"/>
      <c r="B44" s="971"/>
      <c r="C44" s="376"/>
      <c r="D44" s="376"/>
      <c r="E44" s="462" t="s">
        <v>395</v>
      </c>
      <c r="F44" s="374">
        <v>81112104</v>
      </c>
      <c r="G44" s="374" t="s">
        <v>53</v>
      </c>
      <c r="H44" s="374" t="s">
        <v>310</v>
      </c>
      <c r="I44" s="374" t="s">
        <v>581</v>
      </c>
      <c r="J44" s="434"/>
      <c r="K44" s="435"/>
      <c r="L44" s="415"/>
      <c r="M44" s="415"/>
      <c r="N44" s="379">
        <f>36000000-23192040-3986500-2319204-6502256</f>
        <v>0</v>
      </c>
      <c r="O44" s="418"/>
      <c r="P44" s="467">
        <f t="shared" si="6"/>
        <v>0</v>
      </c>
      <c r="Q44" s="436"/>
      <c r="R44" s="379"/>
      <c r="S44" s="379"/>
      <c r="T44" s="418"/>
      <c r="U44" s="417"/>
      <c r="V44" s="379"/>
      <c r="W44" s="418"/>
      <c r="X44" s="391"/>
      <c r="Y44" s="391"/>
      <c r="Z44" s="391"/>
      <c r="AA44" s="391"/>
      <c r="AB44" s="391"/>
    </row>
    <row r="45" spans="1:28" s="410" customFormat="1" ht="56.25" customHeight="1" x14ac:dyDescent="0.2">
      <c r="A45" s="959"/>
      <c r="B45" s="971"/>
      <c r="C45" s="376">
        <v>323</v>
      </c>
      <c r="D45" s="376"/>
      <c r="E45" s="462" t="s">
        <v>734</v>
      </c>
      <c r="F45" s="374">
        <v>81112101</v>
      </c>
      <c r="G45" s="374" t="s">
        <v>53</v>
      </c>
      <c r="H45" s="374" t="s">
        <v>310</v>
      </c>
      <c r="I45" s="374" t="s">
        <v>581</v>
      </c>
      <c r="J45" s="434" t="s">
        <v>488</v>
      </c>
      <c r="K45" s="435">
        <v>1</v>
      </c>
      <c r="L45" s="415" t="s">
        <v>210</v>
      </c>
      <c r="M45" s="415" t="s">
        <v>185</v>
      </c>
      <c r="N45" s="379">
        <f>704685+110626</f>
        <v>815311</v>
      </c>
      <c r="O45" s="418"/>
      <c r="P45" s="418">
        <f t="shared" si="6"/>
        <v>815311</v>
      </c>
      <c r="Q45" s="436"/>
      <c r="R45" s="379"/>
      <c r="S45" s="379"/>
      <c r="T45" s="418"/>
      <c r="U45" s="417"/>
      <c r="V45" s="379"/>
      <c r="W45" s="418"/>
      <c r="X45" s="391"/>
      <c r="Y45" s="391"/>
      <c r="Z45" s="391"/>
      <c r="AA45" s="391"/>
      <c r="AB45" s="391"/>
    </row>
    <row r="46" spans="1:28" s="410" customFormat="1" ht="44.25" customHeight="1" x14ac:dyDescent="0.2">
      <c r="A46" s="959"/>
      <c r="B46" s="971"/>
      <c r="C46" s="794">
        <v>322</v>
      </c>
      <c r="D46" s="470">
        <v>35</v>
      </c>
      <c r="E46" s="471" t="s">
        <v>727</v>
      </c>
      <c r="F46" s="374">
        <v>81112101</v>
      </c>
      <c r="G46" s="374" t="s">
        <v>53</v>
      </c>
      <c r="H46" s="374" t="s">
        <v>310</v>
      </c>
      <c r="I46" s="374" t="s">
        <v>581</v>
      </c>
      <c r="J46" s="434" t="s">
        <v>713</v>
      </c>
      <c r="K46" s="435">
        <v>7</v>
      </c>
      <c r="L46" s="415" t="s">
        <v>208</v>
      </c>
      <c r="M46" s="415" t="s">
        <v>208</v>
      </c>
      <c r="N46" s="379">
        <v>7946820</v>
      </c>
      <c r="O46" s="418"/>
      <c r="P46" s="418">
        <f t="shared" si="6"/>
        <v>7946820</v>
      </c>
      <c r="Q46" s="436"/>
      <c r="R46" s="379">
        <v>7946820</v>
      </c>
      <c r="S46" s="379"/>
      <c r="T46" s="418">
        <f>+R46+S46</f>
        <v>7946820</v>
      </c>
      <c r="U46" s="417" t="s">
        <v>743</v>
      </c>
      <c r="V46" s="379">
        <v>118</v>
      </c>
      <c r="W46" s="379" t="s">
        <v>744</v>
      </c>
      <c r="X46" s="391"/>
      <c r="Y46" s="391"/>
      <c r="Z46" s="391"/>
      <c r="AA46" s="391"/>
      <c r="AB46" s="391"/>
    </row>
    <row r="47" spans="1:28" s="410" customFormat="1" ht="33" customHeight="1" x14ac:dyDescent="0.2">
      <c r="A47" s="959"/>
      <c r="B47" s="971"/>
      <c r="C47" s="794"/>
      <c r="D47" s="470"/>
      <c r="E47" s="471" t="s">
        <v>547</v>
      </c>
      <c r="F47" s="794"/>
      <c r="G47" s="794"/>
      <c r="H47" s="794"/>
      <c r="I47" s="794"/>
      <c r="J47" s="434"/>
      <c r="K47" s="435"/>
      <c r="L47" s="415"/>
      <c r="M47" s="415"/>
      <c r="N47" s="379">
        <f>16788926-7946820-110626</f>
        <v>8731480</v>
      </c>
      <c r="O47" s="418"/>
      <c r="P47" s="418">
        <f>+N47+O47</f>
        <v>8731480</v>
      </c>
      <c r="Q47" s="436"/>
      <c r="R47" s="379"/>
      <c r="S47" s="379"/>
      <c r="T47" s="418"/>
      <c r="U47" s="417"/>
      <c r="V47" s="379"/>
      <c r="W47" s="379"/>
      <c r="X47" s="391"/>
      <c r="Y47" s="391"/>
      <c r="Z47" s="391"/>
      <c r="AA47" s="391"/>
      <c r="AB47" s="391"/>
    </row>
    <row r="48" spans="1:28" s="410" customFormat="1" ht="33" customHeight="1" x14ac:dyDescent="0.2">
      <c r="A48" s="959"/>
      <c r="B48" s="971"/>
      <c r="C48" s="376">
        <v>188</v>
      </c>
      <c r="D48" s="376">
        <v>29</v>
      </c>
      <c r="E48" s="471" t="s">
        <v>305</v>
      </c>
      <c r="F48" s="374">
        <v>81112101</v>
      </c>
      <c r="G48" s="374" t="s">
        <v>446</v>
      </c>
      <c r="H48" s="374" t="s">
        <v>304</v>
      </c>
      <c r="I48" s="374" t="s">
        <v>585</v>
      </c>
      <c r="J48" s="434" t="s">
        <v>324</v>
      </c>
      <c r="K48" s="435">
        <v>3</v>
      </c>
      <c r="L48" s="415" t="s">
        <v>209</v>
      </c>
      <c r="M48" s="448" t="s">
        <v>98</v>
      </c>
      <c r="N48" s="379">
        <v>3272500</v>
      </c>
      <c r="O48" s="418"/>
      <c r="P48" s="418">
        <f>+N48</f>
        <v>3272500</v>
      </c>
      <c r="Q48" s="416">
        <v>1</v>
      </c>
      <c r="R48" s="379">
        <v>3272500</v>
      </c>
      <c r="S48" s="379"/>
      <c r="T48" s="418">
        <f>+R48+S48</f>
        <v>3272500</v>
      </c>
      <c r="U48" s="417">
        <v>42853</v>
      </c>
      <c r="V48" s="379" t="s">
        <v>440</v>
      </c>
      <c r="W48" s="418" t="s">
        <v>441</v>
      </c>
      <c r="X48" s="391"/>
      <c r="Y48" s="391"/>
      <c r="Z48" s="391"/>
      <c r="AA48" s="391"/>
      <c r="AB48" s="391"/>
    </row>
    <row r="49" spans="1:28" s="410" customFormat="1" ht="33" customHeight="1" x14ac:dyDescent="0.2">
      <c r="A49" s="959"/>
      <c r="B49" s="971"/>
      <c r="C49" s="376">
        <v>284</v>
      </c>
      <c r="D49" s="376">
        <v>30</v>
      </c>
      <c r="E49" s="413" t="s">
        <v>123</v>
      </c>
      <c r="F49" s="374" t="s">
        <v>699</v>
      </c>
      <c r="G49" s="384" t="s">
        <v>392</v>
      </c>
      <c r="H49" s="374" t="s">
        <v>312</v>
      </c>
      <c r="I49" s="375" t="s">
        <v>586</v>
      </c>
      <c r="J49" s="434" t="s">
        <v>77</v>
      </c>
      <c r="K49" s="435">
        <v>12</v>
      </c>
      <c r="L49" s="415" t="s">
        <v>538</v>
      </c>
      <c r="M49" s="448" t="s">
        <v>189</v>
      </c>
      <c r="N49" s="379">
        <v>14625000</v>
      </c>
      <c r="O49" s="418"/>
      <c r="P49" s="418">
        <f>+N49+O49</f>
        <v>14625000</v>
      </c>
      <c r="Q49" s="436"/>
      <c r="R49" s="379">
        <v>14625000</v>
      </c>
      <c r="S49" s="379"/>
      <c r="T49" s="418">
        <f>+R49+S49</f>
        <v>14625000</v>
      </c>
      <c r="U49" s="417">
        <v>43011</v>
      </c>
      <c r="V49" s="379" t="s">
        <v>712</v>
      </c>
      <c r="W49" s="418" t="s">
        <v>711</v>
      </c>
      <c r="X49" s="420"/>
      <c r="Y49" s="391"/>
      <c r="Z49" s="391"/>
      <c r="AA49" s="391"/>
      <c r="AB49" s="391"/>
    </row>
    <row r="50" spans="1:28" s="410" customFormat="1" ht="33" customHeight="1" x14ac:dyDescent="0.2">
      <c r="A50" s="959"/>
      <c r="B50" s="971"/>
      <c r="C50" s="376"/>
      <c r="D50" s="376"/>
      <c r="E50" s="413" t="s">
        <v>547</v>
      </c>
      <c r="F50" s="374"/>
      <c r="G50" s="384"/>
      <c r="H50" s="374"/>
      <c r="I50" s="375"/>
      <c r="J50" s="434"/>
      <c r="K50" s="435"/>
      <c r="L50" s="415"/>
      <c r="M50" s="448"/>
      <c r="N50" s="440">
        <f>14850000-14625000-225000</f>
        <v>0</v>
      </c>
      <c r="O50" s="418"/>
      <c r="P50" s="418">
        <f>+N50+O50</f>
        <v>0</v>
      </c>
      <c r="Q50" s="436"/>
      <c r="R50" s="379"/>
      <c r="S50" s="379"/>
      <c r="T50" s="418"/>
      <c r="U50" s="417"/>
      <c r="V50" s="379"/>
      <c r="W50" s="418"/>
      <c r="X50" s="420"/>
      <c r="Y50" s="391"/>
      <c r="Z50" s="391"/>
      <c r="AA50" s="391"/>
      <c r="AB50" s="391"/>
    </row>
    <row r="51" spans="1:28" s="410" customFormat="1" ht="33" customHeight="1" x14ac:dyDescent="0.2">
      <c r="A51" s="959"/>
      <c r="B51" s="971"/>
      <c r="C51" s="376">
        <v>27</v>
      </c>
      <c r="D51" s="376"/>
      <c r="E51" s="472" t="s">
        <v>64</v>
      </c>
      <c r="F51" s="374" t="s">
        <v>127</v>
      </c>
      <c r="G51" s="384" t="s">
        <v>28</v>
      </c>
      <c r="H51" s="376" t="s">
        <v>312</v>
      </c>
      <c r="I51" s="376"/>
      <c r="J51" s="434" t="s">
        <v>72</v>
      </c>
      <c r="K51" s="435">
        <v>12</v>
      </c>
      <c r="L51" s="449" t="s">
        <v>24</v>
      </c>
      <c r="M51" s="449" t="s">
        <v>186</v>
      </c>
      <c r="N51" s="379">
        <v>4800000</v>
      </c>
      <c r="O51" s="418"/>
      <c r="P51" s="436">
        <v>4800000</v>
      </c>
      <c r="Q51" s="436"/>
      <c r="R51" s="379">
        <f>334938+334938+108890+347460</f>
        <v>1126226</v>
      </c>
      <c r="S51" s="379"/>
      <c r="T51" s="418">
        <f>+R51</f>
        <v>1126226</v>
      </c>
      <c r="U51" s="436"/>
      <c r="V51" s="379"/>
      <c r="W51" s="418"/>
      <c r="X51" s="391"/>
      <c r="Y51" s="391"/>
      <c r="Z51" s="391"/>
      <c r="AA51" s="391"/>
      <c r="AB51" s="391"/>
    </row>
    <row r="52" spans="1:28" s="410" customFormat="1" ht="33" customHeight="1" x14ac:dyDescent="0.2">
      <c r="A52" s="961"/>
      <c r="B52" s="971"/>
      <c r="C52" s="376">
        <v>19</v>
      </c>
      <c r="D52" s="376"/>
      <c r="E52" s="472" t="s">
        <v>59</v>
      </c>
      <c r="F52" s="374" t="s">
        <v>127</v>
      </c>
      <c r="G52" s="374" t="s">
        <v>60</v>
      </c>
      <c r="H52" s="376" t="s">
        <v>312</v>
      </c>
      <c r="I52" s="376"/>
      <c r="J52" s="434" t="s">
        <v>51</v>
      </c>
      <c r="K52" s="435">
        <v>11</v>
      </c>
      <c r="L52" s="449" t="s">
        <v>24</v>
      </c>
      <c r="M52" s="449" t="s">
        <v>186</v>
      </c>
      <c r="N52" s="379">
        <v>4400000</v>
      </c>
      <c r="O52" s="418"/>
      <c r="P52" s="436">
        <v>4400000</v>
      </c>
      <c r="Q52" s="436"/>
      <c r="R52" s="379">
        <f>249900+140750+139000+158200+198000+176400+147600+172100+172400+240200</f>
        <v>1794550</v>
      </c>
      <c r="S52" s="379"/>
      <c r="T52" s="418">
        <f>+R52</f>
        <v>1794550</v>
      </c>
      <c r="U52" s="436"/>
      <c r="V52" s="379"/>
      <c r="W52" s="418"/>
      <c r="X52" s="391"/>
      <c r="Y52" s="391"/>
      <c r="Z52" s="391"/>
      <c r="AA52" s="391"/>
      <c r="AB52" s="391"/>
    </row>
    <row r="53" spans="1:28" s="410" customFormat="1" ht="33" customHeight="1" x14ac:dyDescent="0.2">
      <c r="A53" s="473"/>
      <c r="B53" s="964" t="s">
        <v>192</v>
      </c>
      <c r="C53" s="965"/>
      <c r="D53" s="965"/>
      <c r="E53" s="965"/>
      <c r="F53" s="965"/>
      <c r="G53" s="965"/>
      <c r="H53" s="965"/>
      <c r="I53" s="965"/>
      <c r="J53" s="965"/>
      <c r="K53" s="965"/>
      <c r="L53" s="430"/>
      <c r="M53" s="431"/>
      <c r="N53" s="460">
        <f>SUM(N41:N52)</f>
        <v>67783151</v>
      </c>
      <c r="O53" s="460">
        <f>SUM(O41:O52)</f>
        <v>0</v>
      </c>
      <c r="P53" s="460">
        <f>SUM(P41:P52)</f>
        <v>67783151</v>
      </c>
      <c r="Q53" s="460"/>
      <c r="R53" s="460">
        <f>SUM(R41:R52)</f>
        <v>51957136</v>
      </c>
      <c r="S53" s="460">
        <f>43250256-R53</f>
        <v>-8706880</v>
      </c>
      <c r="T53" s="460">
        <f>SUM(T41:T52)</f>
        <v>51957136</v>
      </c>
      <c r="U53" s="460"/>
      <c r="V53" s="460"/>
      <c r="W53" s="460"/>
      <c r="X53" s="474"/>
      <c r="Y53" s="391"/>
      <c r="Z53" s="391"/>
      <c r="AA53" s="391"/>
      <c r="AB53" s="391"/>
    </row>
    <row r="54" spans="1:28" s="410" customFormat="1" ht="33" customHeight="1" x14ac:dyDescent="0.2">
      <c r="A54" s="959">
        <v>120204</v>
      </c>
      <c r="B54" s="973" t="s">
        <v>141</v>
      </c>
      <c r="C54" s="374">
        <v>28</v>
      </c>
      <c r="D54" s="374">
        <v>31</v>
      </c>
      <c r="E54" s="471" t="s">
        <v>66</v>
      </c>
      <c r="F54" s="374">
        <v>80161801</v>
      </c>
      <c r="G54" s="374" t="s">
        <v>28</v>
      </c>
      <c r="H54" s="374" t="s">
        <v>312</v>
      </c>
      <c r="I54" s="374" t="s">
        <v>583</v>
      </c>
      <c r="J54" s="434" t="s">
        <v>325</v>
      </c>
      <c r="K54" s="435">
        <v>12</v>
      </c>
      <c r="L54" s="415" t="s">
        <v>211</v>
      </c>
      <c r="M54" s="448" t="s">
        <v>52</v>
      </c>
      <c r="N54" s="459">
        <f>10450000-200000-3230000</f>
        <v>7020000</v>
      </c>
      <c r="O54" s="459"/>
      <c r="P54" s="418">
        <f>+N54</f>
        <v>7020000</v>
      </c>
      <c r="Q54" s="416">
        <v>1</v>
      </c>
      <c r="R54" s="459">
        <v>7020000</v>
      </c>
      <c r="S54" s="459"/>
      <c r="T54" s="418">
        <f>+R54</f>
        <v>7020000</v>
      </c>
      <c r="U54" s="417">
        <v>42885</v>
      </c>
      <c r="V54" s="459"/>
      <c r="W54" s="459" t="s">
        <v>523</v>
      </c>
      <c r="X54" s="391"/>
      <c r="Y54" s="391"/>
      <c r="Z54" s="391"/>
      <c r="AA54" s="391"/>
      <c r="AB54" s="391"/>
    </row>
    <row r="55" spans="1:28" s="410" customFormat="1" ht="33" customHeight="1" x14ac:dyDescent="0.2">
      <c r="A55" s="959"/>
      <c r="B55" s="973"/>
      <c r="C55" s="374"/>
      <c r="D55" s="374"/>
      <c r="E55" s="462" t="s">
        <v>395</v>
      </c>
      <c r="F55" s="374"/>
      <c r="G55" s="374"/>
      <c r="H55" s="374"/>
      <c r="I55" s="374"/>
      <c r="J55" s="434"/>
      <c r="K55" s="435"/>
      <c r="L55" s="415"/>
      <c r="M55" s="415" t="s">
        <v>185</v>
      </c>
      <c r="N55" s="475">
        <f>10250000-7020000-3230000</f>
        <v>0</v>
      </c>
      <c r="O55" s="459"/>
      <c r="P55" s="467">
        <f>+N55</f>
        <v>0</v>
      </c>
      <c r="Q55" s="416"/>
      <c r="R55" s="459"/>
      <c r="S55" s="459"/>
      <c r="T55" s="459"/>
      <c r="U55" s="436"/>
      <c r="V55" s="459"/>
      <c r="W55" s="459"/>
      <c r="X55" s="391"/>
      <c r="Y55" s="391"/>
      <c r="Z55" s="391"/>
      <c r="AA55" s="391"/>
      <c r="AB55" s="391"/>
    </row>
    <row r="56" spans="1:28" s="410" customFormat="1" ht="33" customHeight="1" x14ac:dyDescent="0.2">
      <c r="A56" s="959"/>
      <c r="B56" s="973"/>
      <c r="C56" s="374">
        <v>256</v>
      </c>
      <c r="D56" s="374"/>
      <c r="E56" s="461" t="s">
        <v>411</v>
      </c>
      <c r="F56" s="374">
        <v>80161801</v>
      </c>
      <c r="G56" s="374" t="s">
        <v>28</v>
      </c>
      <c r="H56" s="374" t="s">
        <v>312</v>
      </c>
      <c r="I56" s="374" t="s">
        <v>582</v>
      </c>
      <c r="J56" s="434" t="s">
        <v>63</v>
      </c>
      <c r="K56" s="435">
        <v>2</v>
      </c>
      <c r="L56" s="415"/>
      <c r="M56" s="448"/>
      <c r="N56" s="459">
        <v>200000</v>
      </c>
      <c r="O56" s="459"/>
      <c r="P56" s="418">
        <f>+N56+O56</f>
        <v>200000</v>
      </c>
      <c r="Q56" s="416">
        <v>1</v>
      </c>
      <c r="R56" s="459">
        <v>200000</v>
      </c>
      <c r="S56" s="459"/>
      <c r="T56" s="459">
        <f>+R56+S56</f>
        <v>200000</v>
      </c>
      <c r="U56" s="417">
        <v>42859</v>
      </c>
      <c r="V56" s="459"/>
      <c r="W56" s="459" t="s">
        <v>453</v>
      </c>
      <c r="X56" s="391"/>
      <c r="Y56" s="391"/>
      <c r="Z56" s="391"/>
      <c r="AA56" s="391"/>
      <c r="AB56" s="391"/>
    </row>
    <row r="57" spans="1:28" s="410" customFormat="1" ht="33" customHeight="1" x14ac:dyDescent="0.2">
      <c r="A57" s="959"/>
      <c r="B57" s="973"/>
      <c r="C57" s="374">
        <v>19</v>
      </c>
      <c r="D57" s="374"/>
      <c r="E57" s="472" t="s">
        <v>65</v>
      </c>
      <c r="F57" s="374" t="s">
        <v>127</v>
      </c>
      <c r="G57" s="374" t="s">
        <v>60</v>
      </c>
      <c r="H57" s="376" t="s">
        <v>312</v>
      </c>
      <c r="I57" s="376"/>
      <c r="J57" s="434" t="s">
        <v>51</v>
      </c>
      <c r="K57" s="435">
        <v>11</v>
      </c>
      <c r="L57" s="449" t="s">
        <v>24</v>
      </c>
      <c r="M57" s="449" t="s">
        <v>186</v>
      </c>
      <c r="N57" s="476">
        <v>2750000</v>
      </c>
      <c r="O57" s="459"/>
      <c r="P57" s="436">
        <f t="shared" ref="P57:P58" si="7">+N57</f>
        <v>2750000</v>
      </c>
      <c r="Q57" s="416"/>
      <c r="R57" s="476">
        <f>28000+115000+7850+93300+90000</f>
        <v>334150</v>
      </c>
      <c r="S57" s="476"/>
      <c r="T57" s="459">
        <f>+R57</f>
        <v>334150</v>
      </c>
      <c r="U57" s="436"/>
      <c r="V57" s="476"/>
      <c r="W57" s="459"/>
      <c r="X57" s="391"/>
      <c r="Y57" s="391"/>
      <c r="Z57" s="391"/>
      <c r="AA57" s="391"/>
      <c r="AB57" s="391"/>
    </row>
    <row r="58" spans="1:28" s="410" customFormat="1" ht="33" customHeight="1" x14ac:dyDescent="0.2">
      <c r="A58" s="959"/>
      <c r="B58" s="973"/>
      <c r="C58" s="374">
        <v>29</v>
      </c>
      <c r="D58" s="374"/>
      <c r="E58" s="472" t="s">
        <v>67</v>
      </c>
      <c r="F58" s="374" t="s">
        <v>127</v>
      </c>
      <c r="G58" s="374" t="s">
        <v>83</v>
      </c>
      <c r="H58" s="376" t="s">
        <v>451</v>
      </c>
      <c r="I58" s="376"/>
      <c r="J58" s="434" t="s">
        <v>63</v>
      </c>
      <c r="K58" s="435">
        <v>10</v>
      </c>
      <c r="L58" s="449" t="s">
        <v>24</v>
      </c>
      <c r="M58" s="449" t="s">
        <v>186</v>
      </c>
      <c r="N58" s="459">
        <v>1050000</v>
      </c>
      <c r="O58" s="459"/>
      <c r="P58" s="436">
        <f t="shared" si="7"/>
        <v>1050000</v>
      </c>
      <c r="Q58" s="416"/>
      <c r="R58" s="459">
        <f>180000+150000+120000+75000</f>
        <v>525000</v>
      </c>
      <c r="S58" s="459"/>
      <c r="T58" s="459">
        <f>+R58+S58</f>
        <v>525000</v>
      </c>
      <c r="U58" s="436"/>
      <c r="V58" s="459"/>
      <c r="W58" s="459" t="s">
        <v>550</v>
      </c>
      <c r="X58" s="391"/>
      <c r="Y58" s="391"/>
      <c r="Z58" s="391"/>
      <c r="AA58" s="391"/>
      <c r="AB58" s="391"/>
    </row>
    <row r="59" spans="1:28" s="410" customFormat="1" ht="33" customHeight="1" x14ac:dyDescent="0.2">
      <c r="A59" s="473"/>
      <c r="B59" s="964" t="s">
        <v>192</v>
      </c>
      <c r="C59" s="965"/>
      <c r="D59" s="965"/>
      <c r="E59" s="965"/>
      <c r="F59" s="965"/>
      <c r="G59" s="965"/>
      <c r="H59" s="965"/>
      <c r="I59" s="965"/>
      <c r="J59" s="965"/>
      <c r="K59" s="965"/>
      <c r="L59" s="430"/>
      <c r="M59" s="431"/>
      <c r="N59" s="460">
        <f>SUM(N54:N58)</f>
        <v>11020000</v>
      </c>
      <c r="O59" s="460">
        <f>SUM(O54:O58)</f>
        <v>0</v>
      </c>
      <c r="P59" s="460">
        <f>SUM(P54:P58)</f>
        <v>11020000</v>
      </c>
      <c r="Q59" s="460"/>
      <c r="R59" s="460">
        <f>SUM(R54:R58)</f>
        <v>8079150</v>
      </c>
      <c r="S59" s="460"/>
      <c r="T59" s="460">
        <f>SUM(T54:T58)</f>
        <v>8079150</v>
      </c>
      <c r="U59" s="460"/>
      <c r="V59" s="460"/>
      <c r="W59" s="460"/>
      <c r="X59" s="391"/>
      <c r="Y59" s="391"/>
      <c r="Z59" s="391"/>
      <c r="AA59" s="391"/>
      <c r="AB59" s="391"/>
    </row>
    <row r="60" spans="1:28" s="410" customFormat="1" ht="33" customHeight="1" x14ac:dyDescent="0.2">
      <c r="A60" s="959">
        <v>12020501</v>
      </c>
      <c r="B60" s="971" t="s">
        <v>140</v>
      </c>
      <c r="C60" s="376">
        <v>30</v>
      </c>
      <c r="D60" s="376">
        <v>32</v>
      </c>
      <c r="E60" s="413" t="s">
        <v>68</v>
      </c>
      <c r="F60" s="374" t="s">
        <v>69</v>
      </c>
      <c r="G60" s="374" t="s">
        <v>28</v>
      </c>
      <c r="H60" s="374" t="s">
        <v>312</v>
      </c>
      <c r="I60" s="374" t="s">
        <v>583</v>
      </c>
      <c r="J60" s="434" t="s">
        <v>56</v>
      </c>
      <c r="K60" s="435">
        <v>12</v>
      </c>
      <c r="L60" s="415" t="s">
        <v>209</v>
      </c>
      <c r="M60" s="448" t="s">
        <v>189</v>
      </c>
      <c r="N60" s="379">
        <f>38148843</f>
        <v>38148843</v>
      </c>
      <c r="O60" s="418"/>
      <c r="P60" s="418">
        <f>+N60</f>
        <v>38148843</v>
      </c>
      <c r="Q60" s="416">
        <v>1</v>
      </c>
      <c r="R60" s="379">
        <v>38148843</v>
      </c>
      <c r="S60" s="379"/>
      <c r="T60" s="418">
        <f>+R60+S60</f>
        <v>38148843</v>
      </c>
      <c r="U60" s="417">
        <v>42859</v>
      </c>
      <c r="V60" s="379">
        <v>71</v>
      </c>
      <c r="W60" s="418" t="s">
        <v>452</v>
      </c>
      <c r="X60" s="391"/>
      <c r="Y60" s="391"/>
      <c r="Z60" s="391"/>
      <c r="AA60" s="391"/>
      <c r="AB60" s="391"/>
    </row>
    <row r="61" spans="1:28" s="410" customFormat="1" ht="33" customHeight="1" x14ac:dyDescent="0.2">
      <c r="A61" s="959"/>
      <c r="B61" s="971"/>
      <c r="C61" s="374">
        <v>298</v>
      </c>
      <c r="D61" s="374"/>
      <c r="E61" s="425" t="s">
        <v>618</v>
      </c>
      <c r="F61" s="426">
        <v>72154066</v>
      </c>
      <c r="G61" s="426" t="s">
        <v>28</v>
      </c>
      <c r="H61" s="426" t="s">
        <v>312</v>
      </c>
      <c r="I61" s="426" t="s">
        <v>583</v>
      </c>
      <c r="J61" s="438" t="s">
        <v>99</v>
      </c>
      <c r="K61" s="439">
        <v>2</v>
      </c>
      <c r="L61" s="427" t="s">
        <v>211</v>
      </c>
      <c r="M61" s="469" t="s">
        <v>52</v>
      </c>
      <c r="N61" s="440">
        <f>5651157-5651157</f>
        <v>0</v>
      </c>
      <c r="O61" s="428"/>
      <c r="P61" s="428">
        <f>+N61+O61</f>
        <v>0</v>
      </c>
      <c r="Q61" s="416"/>
      <c r="R61" s="379"/>
      <c r="S61" s="379"/>
      <c r="T61" s="418"/>
      <c r="U61" s="417"/>
      <c r="V61" s="379"/>
      <c r="W61" s="418"/>
      <c r="X61" s="391"/>
      <c r="Y61" s="391"/>
      <c r="Z61" s="391"/>
      <c r="AA61" s="391"/>
      <c r="AB61" s="391"/>
    </row>
    <row r="62" spans="1:28" s="410" customFormat="1" ht="33" customHeight="1" x14ac:dyDescent="0.2">
      <c r="A62" s="959"/>
      <c r="B62" s="971"/>
      <c r="C62" s="376">
        <v>31</v>
      </c>
      <c r="D62" s="376">
        <v>33</v>
      </c>
      <c r="E62" s="413" t="s">
        <v>124</v>
      </c>
      <c r="F62" s="374">
        <v>78181500</v>
      </c>
      <c r="G62" s="374" t="s">
        <v>28</v>
      </c>
      <c r="H62" s="374" t="s">
        <v>312</v>
      </c>
      <c r="I62" s="374" t="s">
        <v>583</v>
      </c>
      <c r="J62" s="434" t="s">
        <v>99</v>
      </c>
      <c r="K62" s="435">
        <v>6</v>
      </c>
      <c r="L62" s="415" t="s">
        <v>211</v>
      </c>
      <c r="M62" s="448" t="s">
        <v>52</v>
      </c>
      <c r="N62" s="379">
        <f>7020000-1135920-2044655</f>
        <v>3839425</v>
      </c>
      <c r="O62" s="418"/>
      <c r="P62" s="418">
        <f t="shared" ref="P62:P65" si="8">+N62</f>
        <v>3839425</v>
      </c>
      <c r="Q62" s="436"/>
      <c r="R62" s="379"/>
      <c r="S62" s="379"/>
      <c r="T62" s="418"/>
      <c r="U62" s="436"/>
      <c r="V62" s="379"/>
      <c r="W62" s="418"/>
      <c r="X62" s="391"/>
      <c r="Y62" s="391"/>
      <c r="Z62" s="391"/>
      <c r="AA62" s="391"/>
      <c r="AB62" s="391"/>
    </row>
    <row r="63" spans="1:28" s="410" customFormat="1" ht="33" customHeight="1" x14ac:dyDescent="0.2">
      <c r="A63" s="959"/>
      <c r="B63" s="971"/>
      <c r="C63" s="376">
        <v>194</v>
      </c>
      <c r="D63" s="376"/>
      <c r="E63" s="422" t="s">
        <v>362</v>
      </c>
      <c r="F63" s="374" t="s">
        <v>69</v>
      </c>
      <c r="G63" s="374" t="s">
        <v>28</v>
      </c>
      <c r="H63" s="374" t="s">
        <v>312</v>
      </c>
      <c r="I63" s="374" t="s">
        <v>582</v>
      </c>
      <c r="J63" s="434" t="s">
        <v>63</v>
      </c>
      <c r="K63" s="435">
        <v>12</v>
      </c>
      <c r="L63" s="415"/>
      <c r="M63" s="448" t="s">
        <v>189</v>
      </c>
      <c r="N63" s="379">
        <v>1135920</v>
      </c>
      <c r="O63" s="418"/>
      <c r="P63" s="418">
        <f>+N63+O63</f>
        <v>1135920</v>
      </c>
      <c r="Q63" s="416">
        <v>1</v>
      </c>
      <c r="R63" s="379">
        <v>1135920</v>
      </c>
      <c r="S63" s="379"/>
      <c r="T63" s="418">
        <f>+R63+S63</f>
        <v>1135920</v>
      </c>
      <c r="U63" s="417">
        <v>42843</v>
      </c>
      <c r="V63" s="379">
        <v>31</v>
      </c>
      <c r="W63" s="418" t="s">
        <v>407</v>
      </c>
      <c r="X63" s="391"/>
      <c r="Y63" s="391"/>
      <c r="Z63" s="391"/>
      <c r="AA63" s="391"/>
      <c r="AB63" s="391"/>
    </row>
    <row r="64" spans="1:28" s="410" customFormat="1" ht="33" customHeight="1" x14ac:dyDescent="0.2">
      <c r="A64" s="959"/>
      <c r="B64" s="971"/>
      <c r="C64" s="376">
        <v>255</v>
      </c>
      <c r="D64" s="376"/>
      <c r="E64" s="422" t="s">
        <v>410</v>
      </c>
      <c r="F64" s="374" t="s">
        <v>69</v>
      </c>
      <c r="G64" s="374" t="s">
        <v>28</v>
      </c>
      <c r="H64" s="374" t="s">
        <v>312</v>
      </c>
      <c r="I64" s="374" t="s">
        <v>582</v>
      </c>
      <c r="J64" s="434" t="s">
        <v>63</v>
      </c>
      <c r="K64" s="435" t="s">
        <v>445</v>
      </c>
      <c r="L64" s="415"/>
      <c r="M64" s="448"/>
      <c r="N64" s="379">
        <v>2044655</v>
      </c>
      <c r="O64" s="418"/>
      <c r="P64" s="418">
        <f>+N64+O64</f>
        <v>2044655</v>
      </c>
      <c r="Q64" s="416">
        <v>1</v>
      </c>
      <c r="R64" s="379">
        <v>2044655</v>
      </c>
      <c r="S64" s="379"/>
      <c r="T64" s="418">
        <f>+R64+S64</f>
        <v>2044655</v>
      </c>
      <c r="U64" s="417">
        <v>42859</v>
      </c>
      <c r="V64" s="379">
        <v>31</v>
      </c>
      <c r="W64" s="418" t="s">
        <v>407</v>
      </c>
      <c r="X64" s="391"/>
      <c r="Y64" s="391"/>
      <c r="Z64" s="391"/>
      <c r="AA64" s="391"/>
      <c r="AB64" s="391"/>
    </row>
    <row r="65" spans="1:28" s="410" customFormat="1" ht="33" customHeight="1" x14ac:dyDescent="0.2">
      <c r="A65" s="959"/>
      <c r="B65" s="971"/>
      <c r="C65" s="376">
        <v>19</v>
      </c>
      <c r="D65" s="376"/>
      <c r="E65" s="472" t="s">
        <v>65</v>
      </c>
      <c r="F65" s="374" t="s">
        <v>127</v>
      </c>
      <c r="G65" s="374" t="s">
        <v>60</v>
      </c>
      <c r="H65" s="376" t="s">
        <v>312</v>
      </c>
      <c r="I65" s="376"/>
      <c r="J65" s="434" t="s">
        <v>51</v>
      </c>
      <c r="K65" s="435">
        <v>11</v>
      </c>
      <c r="L65" s="449" t="s">
        <v>24</v>
      </c>
      <c r="M65" s="449" t="s">
        <v>186</v>
      </c>
      <c r="N65" s="379">
        <v>2750000</v>
      </c>
      <c r="O65" s="418"/>
      <c r="P65" s="436">
        <f t="shared" si="8"/>
        <v>2750000</v>
      </c>
      <c r="Q65" s="436"/>
      <c r="R65" s="379">
        <f>126140+134500+175950+134150+88240+187000+155000</f>
        <v>1000980</v>
      </c>
      <c r="S65" s="379"/>
      <c r="T65" s="418">
        <f>+R65</f>
        <v>1000980</v>
      </c>
      <c r="U65" s="436"/>
      <c r="V65" s="379"/>
      <c r="W65" s="418"/>
      <c r="X65" s="391"/>
      <c r="Y65" s="391"/>
      <c r="Z65" s="391"/>
      <c r="AA65" s="391"/>
      <c r="AB65" s="391"/>
    </row>
    <row r="66" spans="1:28" s="410" customFormat="1" ht="33" customHeight="1" x14ac:dyDescent="0.2">
      <c r="A66" s="959"/>
      <c r="B66" s="964" t="s">
        <v>192</v>
      </c>
      <c r="C66" s="965"/>
      <c r="D66" s="965"/>
      <c r="E66" s="965"/>
      <c r="F66" s="965"/>
      <c r="G66" s="965"/>
      <c r="H66" s="965"/>
      <c r="I66" s="965"/>
      <c r="J66" s="965"/>
      <c r="K66" s="965"/>
      <c r="L66" s="430"/>
      <c r="M66" s="431"/>
      <c r="N66" s="460">
        <f>SUM(N60:N65)</f>
        <v>47918843</v>
      </c>
      <c r="O66" s="460">
        <f>SUM(O60:O65)</f>
        <v>0</v>
      </c>
      <c r="P66" s="460">
        <f>SUM(P60:P65)</f>
        <v>47918843</v>
      </c>
      <c r="Q66" s="460"/>
      <c r="R66" s="460">
        <f>SUM(R60:R65)</f>
        <v>42330398</v>
      </c>
      <c r="S66" s="460"/>
      <c r="T66" s="460">
        <f>SUM(T60:T65)</f>
        <v>42330398</v>
      </c>
      <c r="U66" s="460"/>
      <c r="V66" s="460"/>
      <c r="W66" s="460"/>
      <c r="X66" s="391"/>
      <c r="Y66" s="391"/>
      <c r="Z66" s="391"/>
      <c r="AA66" s="391"/>
      <c r="AB66" s="391"/>
    </row>
    <row r="67" spans="1:28" s="410" customFormat="1" ht="33" customHeight="1" x14ac:dyDescent="0.2">
      <c r="A67" s="960">
        <v>12020601</v>
      </c>
      <c r="B67" s="966" t="s">
        <v>462</v>
      </c>
      <c r="C67" s="381">
        <v>32</v>
      </c>
      <c r="D67" s="477"/>
      <c r="E67" s="461" t="s">
        <v>460</v>
      </c>
      <c r="F67" s="374">
        <v>84131501</v>
      </c>
      <c r="G67" s="374" t="s">
        <v>577</v>
      </c>
      <c r="H67" s="374" t="s">
        <v>312</v>
      </c>
      <c r="I67" s="375" t="s">
        <v>587</v>
      </c>
      <c r="J67" s="434" t="s">
        <v>77</v>
      </c>
      <c r="K67" s="459">
        <v>12</v>
      </c>
      <c r="L67" s="418" t="s">
        <v>461</v>
      </c>
      <c r="M67" s="418" t="s">
        <v>461</v>
      </c>
      <c r="N67" s="478"/>
      <c r="O67" s="478"/>
      <c r="P67" s="478"/>
      <c r="Q67" s="478"/>
      <c r="R67" s="478"/>
      <c r="S67" s="478"/>
      <c r="T67" s="478"/>
      <c r="U67" s="478"/>
      <c r="V67" s="478"/>
      <c r="W67" s="478"/>
      <c r="X67" s="391"/>
      <c r="Y67" s="391"/>
      <c r="Z67" s="391"/>
      <c r="AA67" s="391"/>
      <c r="AB67" s="391"/>
    </row>
    <row r="68" spans="1:28" s="410" customFormat="1" ht="33" customHeight="1" x14ac:dyDescent="0.2">
      <c r="A68" s="959"/>
      <c r="B68" s="967"/>
      <c r="C68" s="479">
        <v>33</v>
      </c>
      <c r="D68" s="479">
        <v>37</v>
      </c>
      <c r="E68" s="461" t="s">
        <v>70</v>
      </c>
      <c r="F68" s="374">
        <v>84131501</v>
      </c>
      <c r="G68" s="374" t="s">
        <v>710</v>
      </c>
      <c r="H68" s="374" t="s">
        <v>312</v>
      </c>
      <c r="I68" s="375" t="s">
        <v>587</v>
      </c>
      <c r="J68" s="434" t="s">
        <v>578</v>
      </c>
      <c r="K68" s="435">
        <v>12</v>
      </c>
      <c r="L68" s="448" t="s">
        <v>212</v>
      </c>
      <c r="M68" s="448" t="s">
        <v>190</v>
      </c>
      <c r="N68" s="459">
        <v>59969759</v>
      </c>
      <c r="O68" s="418"/>
      <c r="P68" s="418">
        <f>+N68</f>
        <v>59969759</v>
      </c>
      <c r="Q68" s="436"/>
      <c r="R68" s="459">
        <v>59969759</v>
      </c>
      <c r="S68" s="459"/>
      <c r="T68" s="418">
        <f>+R68+S68</f>
        <v>59969759</v>
      </c>
      <c r="U68" s="436">
        <v>43032</v>
      </c>
      <c r="V68" s="459">
        <v>112</v>
      </c>
      <c r="W68" s="418" t="s">
        <v>716</v>
      </c>
      <c r="X68" s="391"/>
      <c r="Y68" s="391"/>
      <c r="Z68" s="391"/>
      <c r="AA68" s="391"/>
      <c r="AB68" s="391"/>
    </row>
    <row r="69" spans="1:28" s="410" customFormat="1" ht="33" customHeight="1" x14ac:dyDescent="0.2">
      <c r="A69" s="959"/>
      <c r="B69" s="967"/>
      <c r="C69" s="479">
        <v>33</v>
      </c>
      <c r="D69" s="479"/>
      <c r="E69" s="480" t="s">
        <v>547</v>
      </c>
      <c r="F69" s="426"/>
      <c r="G69" s="426"/>
      <c r="H69" s="426"/>
      <c r="I69" s="481"/>
      <c r="J69" s="438"/>
      <c r="K69" s="439"/>
      <c r="L69" s="469"/>
      <c r="M69" s="469"/>
      <c r="N69" s="482">
        <f>60000000-59969759-30241</f>
        <v>0</v>
      </c>
      <c r="O69" s="428"/>
      <c r="P69" s="428">
        <f>+N69+O69</f>
        <v>0</v>
      </c>
      <c r="Q69" s="436"/>
      <c r="R69" s="459"/>
      <c r="S69" s="459"/>
      <c r="T69" s="418"/>
      <c r="U69" s="436"/>
      <c r="V69" s="459"/>
      <c r="W69" s="418"/>
      <c r="X69" s="391"/>
      <c r="Y69" s="391"/>
      <c r="Z69" s="391"/>
      <c r="AA69" s="391"/>
      <c r="AB69" s="391"/>
    </row>
    <row r="70" spans="1:28" s="410" customFormat="1" ht="33" customHeight="1" x14ac:dyDescent="0.2">
      <c r="A70" s="961"/>
      <c r="B70" s="967"/>
      <c r="C70" s="376">
        <v>309</v>
      </c>
      <c r="D70" s="376"/>
      <c r="E70" s="483" t="s">
        <v>709</v>
      </c>
      <c r="F70" s="374">
        <v>84131501</v>
      </c>
      <c r="G70" s="374" t="s">
        <v>710</v>
      </c>
      <c r="H70" s="374" t="s">
        <v>312</v>
      </c>
      <c r="I70" s="375" t="s">
        <v>587</v>
      </c>
      <c r="J70" s="434" t="s">
        <v>578</v>
      </c>
      <c r="K70" s="435" t="s">
        <v>445</v>
      </c>
      <c r="L70" s="448" t="s">
        <v>212</v>
      </c>
      <c r="M70" s="448" t="s">
        <v>190</v>
      </c>
      <c r="N70" s="459">
        <v>1855857</v>
      </c>
      <c r="O70" s="418"/>
      <c r="P70" s="418">
        <f>+N70+O70</f>
        <v>1855857</v>
      </c>
      <c r="Q70" s="436"/>
      <c r="R70" s="459">
        <v>1855857</v>
      </c>
      <c r="S70" s="459"/>
      <c r="T70" s="418">
        <f>+R70+S70</f>
        <v>1855857</v>
      </c>
      <c r="U70" s="436" t="s">
        <v>714</v>
      </c>
      <c r="V70" s="459">
        <v>103</v>
      </c>
      <c r="W70" s="418" t="s">
        <v>715</v>
      </c>
      <c r="X70" s="391"/>
      <c r="Y70" s="391"/>
      <c r="Z70" s="391"/>
      <c r="AA70" s="391"/>
      <c r="AB70" s="391"/>
    </row>
    <row r="71" spans="1:28" s="410" customFormat="1" ht="33" customHeight="1" x14ac:dyDescent="0.2">
      <c r="A71" s="473"/>
      <c r="B71" s="968"/>
      <c r="C71" s="376">
        <v>309</v>
      </c>
      <c r="D71" s="376"/>
      <c r="E71" s="468" t="s">
        <v>547</v>
      </c>
      <c r="F71" s="426"/>
      <c r="G71" s="426"/>
      <c r="H71" s="426"/>
      <c r="I71" s="481"/>
      <c r="J71" s="438"/>
      <c r="K71" s="439"/>
      <c r="L71" s="469"/>
      <c r="M71" s="469"/>
      <c r="N71" s="482">
        <f>2000000-R70-144143</f>
        <v>0</v>
      </c>
      <c r="O71" s="428"/>
      <c r="P71" s="428">
        <f>+N71+O71</f>
        <v>0</v>
      </c>
      <c r="Q71" s="436"/>
      <c r="R71" s="459"/>
      <c r="S71" s="459"/>
      <c r="T71" s="418"/>
      <c r="U71" s="436"/>
      <c r="V71" s="459"/>
      <c r="W71" s="418"/>
      <c r="X71" s="391"/>
      <c r="Y71" s="391"/>
      <c r="Z71" s="391"/>
      <c r="AA71" s="391"/>
      <c r="AB71" s="391"/>
    </row>
    <row r="72" spans="1:28" s="410" customFormat="1" ht="33" customHeight="1" x14ac:dyDescent="0.2">
      <c r="A72" s="473"/>
      <c r="B72" s="964" t="s">
        <v>192</v>
      </c>
      <c r="C72" s="965"/>
      <c r="D72" s="965"/>
      <c r="E72" s="965"/>
      <c r="F72" s="965"/>
      <c r="G72" s="965"/>
      <c r="H72" s="965"/>
      <c r="I72" s="965"/>
      <c r="J72" s="965"/>
      <c r="K72" s="965"/>
      <c r="L72" s="430"/>
      <c r="M72" s="431"/>
      <c r="N72" s="460">
        <f>+N67+N68+N70</f>
        <v>61825616</v>
      </c>
      <c r="O72" s="460">
        <f t="shared" ref="O72:P72" si="9">+O67+O68+O70</f>
        <v>0</v>
      </c>
      <c r="P72" s="460">
        <f t="shared" si="9"/>
        <v>61825616</v>
      </c>
      <c r="Q72" s="460"/>
      <c r="R72" s="460">
        <f>+R68+R70</f>
        <v>61825616</v>
      </c>
      <c r="S72" s="460"/>
      <c r="T72" s="460">
        <f>+R72+S72</f>
        <v>61825616</v>
      </c>
      <c r="U72" s="460"/>
      <c r="V72" s="460"/>
      <c r="W72" s="460"/>
      <c r="X72" s="391"/>
      <c r="Y72" s="391"/>
      <c r="Z72" s="391"/>
      <c r="AA72" s="391"/>
      <c r="AB72" s="391"/>
    </row>
    <row r="73" spans="1:28" s="410" customFormat="1" ht="33" customHeight="1" x14ac:dyDescent="0.2">
      <c r="A73" s="484">
        <v>12020801</v>
      </c>
      <c r="B73" s="971" t="s">
        <v>139</v>
      </c>
      <c r="C73" s="376">
        <v>5</v>
      </c>
      <c r="D73" s="376"/>
      <c r="E73" s="472" t="s">
        <v>71</v>
      </c>
      <c r="F73" s="378" t="s">
        <v>126</v>
      </c>
      <c r="G73" s="378" t="s">
        <v>28</v>
      </c>
      <c r="H73" s="376" t="s">
        <v>312</v>
      </c>
      <c r="I73" s="376"/>
      <c r="J73" s="447" t="s">
        <v>72</v>
      </c>
      <c r="K73" s="416">
        <v>12</v>
      </c>
      <c r="L73" s="971" t="s">
        <v>24</v>
      </c>
      <c r="M73" s="378" t="s">
        <v>187</v>
      </c>
      <c r="N73" s="455">
        <v>25000000</v>
      </c>
      <c r="O73" s="436"/>
      <c r="P73" s="485">
        <v>25000000</v>
      </c>
      <c r="Q73" s="485"/>
      <c r="R73" s="459">
        <f>3404310+1651570+1802920+1789100+1939440+1583560+1666640+1836600+1957950+1839940</f>
        <v>19472030</v>
      </c>
      <c r="S73" s="455"/>
      <c r="T73" s="436">
        <f>+R73</f>
        <v>19472030</v>
      </c>
      <c r="U73" s="485"/>
      <c r="V73" s="455"/>
      <c r="W73" s="436"/>
      <c r="X73" s="391"/>
      <c r="Y73" s="391"/>
      <c r="Z73" s="391"/>
      <c r="AA73" s="391"/>
      <c r="AB73" s="391"/>
    </row>
    <row r="74" spans="1:28" s="410" customFormat="1" ht="33" customHeight="1" x14ac:dyDescent="0.2">
      <c r="A74" s="484">
        <v>12020802</v>
      </c>
      <c r="B74" s="971"/>
      <c r="C74" s="376">
        <v>5</v>
      </c>
      <c r="D74" s="376"/>
      <c r="E74" s="472" t="s">
        <v>73</v>
      </c>
      <c r="F74" s="378" t="s">
        <v>126</v>
      </c>
      <c r="G74" s="378" t="s">
        <v>28</v>
      </c>
      <c r="H74" s="376" t="s">
        <v>312</v>
      </c>
      <c r="I74" s="376"/>
      <c r="J74" s="447" t="s">
        <v>72</v>
      </c>
      <c r="K74" s="416">
        <v>12</v>
      </c>
      <c r="L74" s="971"/>
      <c r="M74" s="378" t="s">
        <v>187</v>
      </c>
      <c r="N74" s="455">
        <v>2575000</v>
      </c>
      <c r="O74" s="436"/>
      <c r="P74" s="485">
        <v>2575000</v>
      </c>
      <c r="Q74" s="485"/>
      <c r="R74" s="459">
        <f>86320+96660+94320+99150+94340</f>
        <v>470790</v>
      </c>
      <c r="S74" s="455"/>
      <c r="T74" s="436">
        <f>+R74</f>
        <v>470790</v>
      </c>
      <c r="U74" s="485"/>
      <c r="V74" s="455"/>
      <c r="W74" s="436"/>
      <c r="X74" s="391"/>
      <c r="Y74" s="391"/>
      <c r="Z74" s="391"/>
      <c r="AA74" s="391"/>
      <c r="AB74" s="391"/>
    </row>
    <row r="75" spans="1:28" s="410" customFormat="1" ht="33" customHeight="1" x14ac:dyDescent="0.2">
      <c r="A75" s="484">
        <v>12020803</v>
      </c>
      <c r="B75" s="971"/>
      <c r="C75" s="376">
        <v>5</v>
      </c>
      <c r="D75" s="376"/>
      <c r="E75" s="472" t="s">
        <v>74</v>
      </c>
      <c r="F75" s="378" t="s">
        <v>126</v>
      </c>
      <c r="G75" s="378" t="s">
        <v>28</v>
      </c>
      <c r="H75" s="376" t="s">
        <v>312</v>
      </c>
      <c r="I75" s="376"/>
      <c r="J75" s="447" t="s">
        <v>72</v>
      </c>
      <c r="K75" s="416">
        <v>12</v>
      </c>
      <c r="L75" s="971"/>
      <c r="M75" s="378" t="s">
        <v>187</v>
      </c>
      <c r="N75" s="455">
        <v>4120000</v>
      </c>
      <c r="O75" s="436"/>
      <c r="P75" s="485">
        <v>4120000</v>
      </c>
      <c r="Q75" s="485"/>
      <c r="R75" s="459">
        <f>119026+112010+125990+113840+128740</f>
        <v>599606</v>
      </c>
      <c r="S75" s="455"/>
      <c r="T75" s="436">
        <f>+R75</f>
        <v>599606</v>
      </c>
      <c r="U75" s="485"/>
      <c r="V75" s="455"/>
      <c r="W75" s="436"/>
      <c r="X75" s="391"/>
      <c r="Y75" s="391"/>
      <c r="Z75" s="391"/>
      <c r="AA75" s="391"/>
      <c r="AB75" s="391"/>
    </row>
    <row r="76" spans="1:28" s="410" customFormat="1" ht="33" customHeight="1" x14ac:dyDescent="0.2">
      <c r="A76" s="484">
        <v>12020804</v>
      </c>
      <c r="B76" s="971"/>
      <c r="C76" s="376">
        <v>5</v>
      </c>
      <c r="D76" s="376"/>
      <c r="E76" s="472" t="s">
        <v>75</v>
      </c>
      <c r="F76" s="378" t="s">
        <v>126</v>
      </c>
      <c r="G76" s="378" t="s">
        <v>28</v>
      </c>
      <c r="H76" s="376" t="s">
        <v>312</v>
      </c>
      <c r="I76" s="376"/>
      <c r="J76" s="447" t="s">
        <v>72</v>
      </c>
      <c r="K76" s="416">
        <v>12</v>
      </c>
      <c r="L76" s="971"/>
      <c r="M76" s="378" t="s">
        <v>187</v>
      </c>
      <c r="N76" s="455">
        <v>23925000</v>
      </c>
      <c r="O76" s="436"/>
      <c r="P76" s="485">
        <v>23925000</v>
      </c>
      <c r="Q76" s="485"/>
      <c r="R76" s="459">
        <f>10759890+1349870+1336280+1334080</f>
        <v>14780120</v>
      </c>
      <c r="S76" s="455"/>
      <c r="T76" s="436">
        <f>+R76</f>
        <v>14780120</v>
      </c>
      <c r="U76" s="485"/>
      <c r="V76" s="455"/>
      <c r="W76" s="436"/>
      <c r="X76" s="391"/>
      <c r="Y76" s="391"/>
      <c r="Z76" s="391"/>
      <c r="AA76" s="391"/>
      <c r="AB76" s="391"/>
    </row>
    <row r="77" spans="1:28" s="410" customFormat="1" ht="33" customHeight="1" x14ac:dyDescent="0.2">
      <c r="A77" s="484"/>
      <c r="B77" s="964" t="s">
        <v>192</v>
      </c>
      <c r="C77" s="965"/>
      <c r="D77" s="965"/>
      <c r="E77" s="965"/>
      <c r="F77" s="965"/>
      <c r="G77" s="965"/>
      <c r="H77" s="965"/>
      <c r="I77" s="965"/>
      <c r="J77" s="965"/>
      <c r="K77" s="965"/>
      <c r="L77" s="431"/>
      <c r="M77" s="431"/>
      <c r="N77" s="460">
        <f t="shared" ref="N77:O77" si="10">SUM(N73:N76)</f>
        <v>55620000</v>
      </c>
      <c r="O77" s="460">
        <f t="shared" si="10"/>
        <v>0</v>
      </c>
      <c r="P77" s="460">
        <f>SUM(P73:P76)</f>
        <v>55620000</v>
      </c>
      <c r="Q77" s="460"/>
      <c r="R77" s="460">
        <f>SUM(R73:R76)</f>
        <v>35322546</v>
      </c>
      <c r="S77" s="460"/>
      <c r="T77" s="460">
        <f>SUM(T73:T76)</f>
        <v>35322546</v>
      </c>
      <c r="U77" s="460"/>
      <c r="V77" s="460"/>
      <c r="W77" s="460"/>
      <c r="X77" s="391"/>
      <c r="Y77" s="391"/>
      <c r="Z77" s="391"/>
      <c r="AA77" s="391"/>
      <c r="AB77" s="391"/>
    </row>
    <row r="78" spans="1:28" s="410" customFormat="1" ht="33" customHeight="1" x14ac:dyDescent="0.2">
      <c r="A78" s="484">
        <v>12020901</v>
      </c>
      <c r="B78" s="376" t="s">
        <v>138</v>
      </c>
      <c r="C78" s="376">
        <v>282</v>
      </c>
      <c r="D78" s="376">
        <v>38</v>
      </c>
      <c r="E78" s="471" t="s">
        <v>76</v>
      </c>
      <c r="F78" s="376">
        <v>86101705</v>
      </c>
      <c r="G78" s="376" t="s">
        <v>481</v>
      </c>
      <c r="H78" s="376" t="s">
        <v>312</v>
      </c>
      <c r="I78" s="376" t="s">
        <v>580</v>
      </c>
      <c r="J78" s="434" t="s">
        <v>325</v>
      </c>
      <c r="K78" s="416">
        <v>2</v>
      </c>
      <c r="L78" s="417" t="s">
        <v>211</v>
      </c>
      <c r="M78" s="417" t="s">
        <v>208</v>
      </c>
      <c r="N78" s="455">
        <v>12950000</v>
      </c>
      <c r="O78" s="436"/>
      <c r="P78" s="418">
        <f>+N78</f>
        <v>12950000</v>
      </c>
      <c r="Q78" s="436"/>
      <c r="R78" s="455">
        <v>12950000</v>
      </c>
      <c r="S78" s="455"/>
      <c r="T78" s="436">
        <f>+R78+S78</f>
        <v>12950000</v>
      </c>
      <c r="U78" s="417">
        <v>42957</v>
      </c>
      <c r="V78" s="455">
        <v>107</v>
      </c>
      <c r="W78" s="436" t="s">
        <v>524</v>
      </c>
      <c r="X78" s="391"/>
      <c r="Y78" s="391"/>
      <c r="Z78" s="391"/>
      <c r="AA78" s="391"/>
      <c r="AB78" s="391"/>
    </row>
    <row r="79" spans="1:28" s="410" customFormat="1" ht="33" customHeight="1" x14ac:dyDescent="0.2">
      <c r="A79" s="960">
        <v>120210</v>
      </c>
      <c r="B79" s="964" t="s">
        <v>192</v>
      </c>
      <c r="C79" s="965"/>
      <c r="D79" s="965"/>
      <c r="E79" s="965"/>
      <c r="F79" s="965"/>
      <c r="G79" s="965"/>
      <c r="H79" s="965"/>
      <c r="I79" s="965"/>
      <c r="J79" s="965"/>
      <c r="K79" s="965"/>
      <c r="L79" s="431"/>
      <c r="M79" s="431"/>
      <c r="N79" s="460">
        <f t="shared" ref="N79:P79" si="11">SUM(N78)</f>
        <v>12950000</v>
      </c>
      <c r="O79" s="460">
        <f t="shared" si="11"/>
        <v>0</v>
      </c>
      <c r="P79" s="460">
        <f t="shared" si="11"/>
        <v>12950000</v>
      </c>
      <c r="Q79" s="460"/>
      <c r="R79" s="460">
        <f>SUM(R78)</f>
        <v>12950000</v>
      </c>
      <c r="S79" s="460"/>
      <c r="T79" s="460">
        <f>SUM(T78)</f>
        <v>12950000</v>
      </c>
      <c r="U79" s="460"/>
      <c r="V79" s="460"/>
      <c r="W79" s="460"/>
      <c r="X79" s="391"/>
      <c r="Y79" s="391"/>
      <c r="Z79" s="391"/>
      <c r="AA79" s="391"/>
      <c r="AB79" s="391"/>
    </row>
    <row r="80" spans="1:28" s="410" customFormat="1" ht="33" customHeight="1" x14ac:dyDescent="0.2">
      <c r="A80" s="959"/>
      <c r="B80" s="971" t="s">
        <v>137</v>
      </c>
      <c r="C80" s="376">
        <v>35</v>
      </c>
      <c r="D80" s="376"/>
      <c r="E80" s="461" t="s">
        <v>102</v>
      </c>
      <c r="F80" s="374">
        <v>93141506</v>
      </c>
      <c r="G80" s="384" t="s">
        <v>26</v>
      </c>
      <c r="H80" s="374" t="s">
        <v>312</v>
      </c>
      <c r="I80" s="374" t="s">
        <v>580</v>
      </c>
      <c r="J80" s="434" t="s">
        <v>99</v>
      </c>
      <c r="K80" s="435">
        <v>1</v>
      </c>
      <c r="L80" s="415" t="s">
        <v>211</v>
      </c>
      <c r="M80" s="448" t="s">
        <v>52</v>
      </c>
      <c r="N80" s="459">
        <f>14800000-14800000</f>
        <v>0</v>
      </c>
      <c r="O80" s="418"/>
      <c r="P80" s="418">
        <f>+N80</f>
        <v>0</v>
      </c>
      <c r="Q80" s="436"/>
      <c r="R80" s="455"/>
      <c r="S80" s="455"/>
      <c r="T80" s="436"/>
      <c r="U80" s="436"/>
      <c r="V80" s="455"/>
      <c r="W80" s="436"/>
      <c r="X80" s="391"/>
      <c r="Y80" s="391"/>
      <c r="Z80" s="391"/>
      <c r="AA80" s="391"/>
      <c r="AB80" s="391"/>
    </row>
    <row r="81" spans="1:29" s="410" customFormat="1" ht="33" customHeight="1" x14ac:dyDescent="0.2">
      <c r="A81" s="959"/>
      <c r="B81" s="971"/>
      <c r="C81" s="376">
        <v>36</v>
      </c>
      <c r="D81" s="376"/>
      <c r="E81" s="461" t="s">
        <v>103</v>
      </c>
      <c r="F81" s="374">
        <v>93141506</v>
      </c>
      <c r="G81" s="384" t="s">
        <v>26</v>
      </c>
      <c r="H81" s="384" t="s">
        <v>26</v>
      </c>
      <c r="I81" s="384" t="s">
        <v>26</v>
      </c>
      <c r="J81" s="434" t="s">
        <v>99</v>
      </c>
      <c r="K81" s="435">
        <v>1</v>
      </c>
      <c r="L81" s="415" t="s">
        <v>211</v>
      </c>
      <c r="M81" s="448" t="s">
        <v>52</v>
      </c>
      <c r="N81" s="459">
        <f>5000000-5000000</f>
        <v>0</v>
      </c>
      <c r="O81" s="418"/>
      <c r="P81" s="418">
        <f t="shared" ref="P81:P84" si="12">+N81</f>
        <v>0</v>
      </c>
      <c r="Q81" s="436"/>
      <c r="R81" s="455"/>
      <c r="S81" s="455"/>
      <c r="T81" s="436"/>
      <c r="U81" s="436"/>
      <c r="V81" s="455"/>
      <c r="W81" s="436"/>
      <c r="X81" s="391"/>
      <c r="Y81" s="391"/>
      <c r="Z81" s="391"/>
      <c r="AA81" s="391"/>
      <c r="AB81" s="391"/>
    </row>
    <row r="82" spans="1:29" s="410" customFormat="1" ht="33" customHeight="1" x14ac:dyDescent="0.2">
      <c r="A82" s="959"/>
      <c r="B82" s="971"/>
      <c r="C82" s="376">
        <v>325</v>
      </c>
      <c r="D82" s="376">
        <v>39</v>
      </c>
      <c r="E82" s="468" t="s">
        <v>729</v>
      </c>
      <c r="F82" s="426" t="s">
        <v>730</v>
      </c>
      <c r="G82" s="437" t="s">
        <v>26</v>
      </c>
      <c r="H82" s="437" t="s">
        <v>26</v>
      </c>
      <c r="I82" s="437" t="s">
        <v>26</v>
      </c>
      <c r="J82" s="438" t="s">
        <v>99</v>
      </c>
      <c r="K82" s="439">
        <v>1</v>
      </c>
      <c r="L82" s="427" t="s">
        <v>211</v>
      </c>
      <c r="M82" s="469" t="s">
        <v>52</v>
      </c>
      <c r="N82" s="482">
        <v>19800000</v>
      </c>
      <c r="O82" s="428"/>
      <c r="P82" s="428">
        <f>+N82+O82</f>
        <v>19800000</v>
      </c>
      <c r="Q82" s="428"/>
      <c r="R82" s="455">
        <v>19800000</v>
      </c>
      <c r="S82" s="455"/>
      <c r="T82" s="436">
        <f>+R82+S82</f>
        <v>19800000</v>
      </c>
      <c r="U82" s="417">
        <v>43076</v>
      </c>
      <c r="V82" s="455">
        <v>117</v>
      </c>
      <c r="W82" s="436" t="s">
        <v>742</v>
      </c>
      <c r="X82" s="391"/>
      <c r="Y82" s="391"/>
      <c r="Z82" s="391"/>
      <c r="AA82" s="391"/>
      <c r="AB82" s="391"/>
    </row>
    <row r="83" spans="1:29" s="410" customFormat="1" ht="33" customHeight="1" x14ac:dyDescent="0.2">
      <c r="A83" s="959"/>
      <c r="B83" s="971"/>
      <c r="C83" s="376">
        <v>37</v>
      </c>
      <c r="D83" s="376"/>
      <c r="E83" s="471" t="s">
        <v>78</v>
      </c>
      <c r="F83" s="374" t="s">
        <v>127</v>
      </c>
      <c r="G83" s="384" t="s">
        <v>26</v>
      </c>
      <c r="H83" s="374" t="s">
        <v>312</v>
      </c>
      <c r="I83" s="374" t="s">
        <v>580</v>
      </c>
      <c r="J83" s="434" t="s">
        <v>118</v>
      </c>
      <c r="K83" s="435">
        <v>1</v>
      </c>
      <c r="L83" s="448" t="s">
        <v>24</v>
      </c>
      <c r="M83" s="448" t="s">
        <v>186</v>
      </c>
      <c r="N83" s="459">
        <v>4500000</v>
      </c>
      <c r="O83" s="418"/>
      <c r="P83" s="418">
        <f t="shared" si="12"/>
        <v>4500000</v>
      </c>
      <c r="Q83" s="436"/>
      <c r="R83" s="459">
        <v>4500000</v>
      </c>
      <c r="S83" s="455"/>
      <c r="T83" s="436">
        <f>+R83+S83</f>
        <v>4500000</v>
      </c>
      <c r="U83" s="417">
        <v>42962</v>
      </c>
      <c r="V83" s="455" t="s">
        <v>693</v>
      </c>
      <c r="W83" s="436"/>
      <c r="X83" s="474"/>
      <c r="Y83" s="391"/>
      <c r="Z83" s="391"/>
      <c r="AA83" s="391"/>
      <c r="AB83" s="391"/>
    </row>
    <row r="84" spans="1:29" s="410" customFormat="1" ht="33" customHeight="1" x14ac:dyDescent="0.2">
      <c r="A84" s="959"/>
      <c r="B84" s="971"/>
      <c r="C84" s="376">
        <v>271</v>
      </c>
      <c r="D84" s="376">
        <v>40</v>
      </c>
      <c r="E84" s="471" t="s">
        <v>485</v>
      </c>
      <c r="F84" s="374">
        <v>93141506</v>
      </c>
      <c r="G84" s="384" t="s">
        <v>26</v>
      </c>
      <c r="H84" s="374" t="s">
        <v>312</v>
      </c>
      <c r="I84" s="374" t="s">
        <v>580</v>
      </c>
      <c r="J84" s="434" t="s">
        <v>198</v>
      </c>
      <c r="K84" s="435">
        <v>1</v>
      </c>
      <c r="L84" s="415" t="s">
        <v>448</v>
      </c>
      <c r="M84" s="415" t="s">
        <v>185</v>
      </c>
      <c r="N84" s="459">
        <v>7500000</v>
      </c>
      <c r="O84" s="418"/>
      <c r="P84" s="418">
        <f t="shared" si="12"/>
        <v>7500000</v>
      </c>
      <c r="Q84" s="416">
        <v>1</v>
      </c>
      <c r="R84" s="455">
        <v>7500000</v>
      </c>
      <c r="S84" s="455"/>
      <c r="T84" s="436">
        <f>+R84+S84</f>
        <v>7500000</v>
      </c>
      <c r="U84" s="417">
        <v>42891</v>
      </c>
      <c r="V84" s="379">
        <v>91</v>
      </c>
      <c r="W84" s="436" t="s">
        <v>524</v>
      </c>
      <c r="X84" s="391"/>
      <c r="Y84" s="391"/>
      <c r="Z84" s="391"/>
      <c r="AA84" s="391"/>
      <c r="AB84" s="391"/>
    </row>
    <row r="85" spans="1:29" s="410" customFormat="1" ht="33" customHeight="1" x14ac:dyDescent="0.2">
      <c r="A85" s="961"/>
      <c r="B85" s="964" t="s">
        <v>192</v>
      </c>
      <c r="C85" s="965"/>
      <c r="D85" s="965"/>
      <c r="E85" s="965"/>
      <c r="F85" s="965"/>
      <c r="G85" s="965"/>
      <c r="H85" s="965"/>
      <c r="I85" s="965"/>
      <c r="J85" s="965"/>
      <c r="K85" s="965"/>
      <c r="L85" s="430"/>
      <c r="M85" s="431"/>
      <c r="N85" s="460">
        <f t="shared" ref="N85:P85" si="13">SUM(N80:N84)</f>
        <v>31800000</v>
      </c>
      <c r="O85" s="460">
        <f t="shared" si="13"/>
        <v>0</v>
      </c>
      <c r="P85" s="460">
        <f t="shared" si="13"/>
        <v>31800000</v>
      </c>
      <c r="Q85" s="460"/>
      <c r="R85" s="460">
        <f>SUM(R80:R84)</f>
        <v>31800000</v>
      </c>
      <c r="S85" s="460"/>
      <c r="T85" s="460">
        <f>SUM(T80:T84)</f>
        <v>31800000</v>
      </c>
      <c r="U85" s="460"/>
      <c r="V85" s="460"/>
      <c r="W85" s="460"/>
      <c r="X85" s="391"/>
      <c r="Y85" s="391"/>
      <c r="Z85" s="391"/>
      <c r="AA85" s="391"/>
      <c r="AB85" s="391"/>
    </row>
    <row r="86" spans="1:29" s="410" customFormat="1" ht="33" customHeight="1" x14ac:dyDescent="0.2">
      <c r="A86" s="380">
        <v>120212</v>
      </c>
      <c r="B86" s="376" t="s">
        <v>136</v>
      </c>
      <c r="C86" s="376">
        <v>283</v>
      </c>
      <c r="D86" s="376">
        <v>41</v>
      </c>
      <c r="E86" s="461" t="s">
        <v>104</v>
      </c>
      <c r="F86" s="376">
        <v>93141808</v>
      </c>
      <c r="G86" s="374" t="s">
        <v>26</v>
      </c>
      <c r="H86" s="374" t="s">
        <v>312</v>
      </c>
      <c r="I86" s="375" t="s">
        <v>579</v>
      </c>
      <c r="J86" s="434" t="s">
        <v>118</v>
      </c>
      <c r="K86" s="435">
        <v>2</v>
      </c>
      <c r="L86" s="415" t="s">
        <v>97</v>
      </c>
      <c r="M86" s="448" t="s">
        <v>52</v>
      </c>
      <c r="N86" s="459">
        <v>3219000</v>
      </c>
      <c r="O86" s="418"/>
      <c r="P86" s="418">
        <f>+N86</f>
        <v>3219000</v>
      </c>
      <c r="Q86" s="416">
        <v>1</v>
      </c>
      <c r="R86" s="455">
        <v>3219000</v>
      </c>
      <c r="S86" s="455"/>
      <c r="T86" s="436">
        <f>+R86+S86</f>
        <v>3219000</v>
      </c>
      <c r="U86" s="417">
        <v>42921</v>
      </c>
      <c r="V86" s="379">
        <v>97</v>
      </c>
      <c r="W86" s="436" t="s">
        <v>545</v>
      </c>
      <c r="X86" s="391"/>
      <c r="Y86" s="391"/>
      <c r="Z86" s="391"/>
      <c r="AA86" s="391"/>
      <c r="AB86" s="391"/>
    </row>
    <row r="87" spans="1:29" s="410" customFormat="1" ht="33" customHeight="1" x14ac:dyDescent="0.2">
      <c r="A87" s="473"/>
      <c r="B87" s="376"/>
      <c r="C87" s="376"/>
      <c r="D87" s="376"/>
      <c r="E87" s="471" t="s">
        <v>547</v>
      </c>
      <c r="F87" s="374"/>
      <c r="G87" s="374"/>
      <c r="H87" s="374"/>
      <c r="I87" s="374"/>
      <c r="J87" s="434"/>
      <c r="K87" s="435"/>
      <c r="L87" s="415"/>
      <c r="M87" s="448"/>
      <c r="N87" s="459">
        <f>4107000-R86-888000</f>
        <v>0</v>
      </c>
      <c r="O87" s="418"/>
      <c r="P87" s="467">
        <f>+N87+O87</f>
        <v>0</v>
      </c>
      <c r="Q87" s="416"/>
      <c r="R87" s="459"/>
      <c r="S87" s="455"/>
      <c r="T87" s="436"/>
      <c r="U87" s="417"/>
      <c r="V87" s="379"/>
      <c r="W87" s="436"/>
      <c r="X87" s="391"/>
      <c r="Y87" s="391"/>
      <c r="Z87" s="391"/>
      <c r="AA87" s="391"/>
      <c r="AB87" s="391"/>
    </row>
    <row r="88" spans="1:29" s="410" customFormat="1" ht="33" customHeight="1" x14ac:dyDescent="0.2">
      <c r="A88" s="429"/>
      <c r="B88" s="964" t="s">
        <v>192</v>
      </c>
      <c r="C88" s="965"/>
      <c r="D88" s="965"/>
      <c r="E88" s="965"/>
      <c r="F88" s="965"/>
      <c r="G88" s="965"/>
      <c r="H88" s="965"/>
      <c r="I88" s="965"/>
      <c r="J88" s="965"/>
      <c r="K88" s="965"/>
      <c r="L88" s="431"/>
      <c r="M88" s="431"/>
      <c r="N88" s="460">
        <f>+N86+N87</f>
        <v>3219000</v>
      </c>
      <c r="O88" s="460">
        <f t="shared" ref="O88" si="14">SUM(O86)</f>
        <v>0</v>
      </c>
      <c r="P88" s="460">
        <f>+P86+P87</f>
        <v>3219000</v>
      </c>
      <c r="Q88" s="460"/>
      <c r="R88" s="460">
        <f>SUM(R86)</f>
        <v>3219000</v>
      </c>
      <c r="S88" s="460"/>
      <c r="T88" s="460">
        <f>SUM(T86)</f>
        <v>3219000</v>
      </c>
      <c r="U88" s="460"/>
      <c r="V88" s="460"/>
      <c r="W88" s="460"/>
      <c r="X88" s="391"/>
      <c r="Y88" s="391"/>
      <c r="Z88" s="391"/>
      <c r="AA88" s="391"/>
      <c r="AB88" s="391"/>
    </row>
    <row r="89" spans="1:29" s="410" customFormat="1" ht="33" customHeight="1" x14ac:dyDescent="0.2">
      <c r="A89" s="1021" t="s">
        <v>220</v>
      </c>
      <c r="B89" s="1022"/>
      <c r="C89" s="1022"/>
      <c r="D89" s="1022"/>
      <c r="E89" s="1022"/>
      <c r="F89" s="1022"/>
      <c r="G89" s="1022"/>
      <c r="H89" s="1022"/>
      <c r="I89" s="1022"/>
      <c r="J89" s="1022"/>
      <c r="K89" s="1022"/>
      <c r="L89" s="486"/>
      <c r="M89" s="450"/>
      <c r="N89" s="487">
        <f>+N40+N53+N59+N66+N72+N77+N79+N85+N88</f>
        <v>684913610</v>
      </c>
      <c r="O89" s="487">
        <f>+O40+O53+O59+O66+O72+O77+O79+O85+O88</f>
        <v>0</v>
      </c>
      <c r="P89" s="487">
        <f>+P40+P53+P59+P66+P72+P77+P79+P85+P88</f>
        <v>684913610</v>
      </c>
      <c r="Q89" s="487"/>
      <c r="R89" s="487">
        <f>+R40+R53+R59+R66+R72+R77+R79+R85+R88</f>
        <v>632234105</v>
      </c>
      <c r="S89" s="487"/>
      <c r="T89" s="487">
        <f>+T40+T53+T59+T66+T72+T77+T79+T85+T88</f>
        <v>632234105</v>
      </c>
      <c r="U89" s="487"/>
      <c r="V89" s="487"/>
      <c r="W89" s="487"/>
      <c r="X89" s="391"/>
      <c r="Y89" s="391"/>
      <c r="Z89" s="391"/>
      <c r="AA89" s="391"/>
      <c r="AB89" s="391"/>
    </row>
    <row r="90" spans="1:29" s="410" customFormat="1" ht="56.25" customHeight="1" x14ac:dyDescent="0.2">
      <c r="A90" s="488">
        <v>120302</v>
      </c>
      <c r="B90" s="376" t="s">
        <v>135</v>
      </c>
      <c r="C90" s="376">
        <v>4</v>
      </c>
      <c r="D90" s="376"/>
      <c r="E90" s="422" t="s">
        <v>79</v>
      </c>
      <c r="F90" s="376" t="s">
        <v>127</v>
      </c>
      <c r="G90" s="376" t="s">
        <v>393</v>
      </c>
      <c r="H90" s="376" t="s">
        <v>312</v>
      </c>
      <c r="I90" s="376" t="s">
        <v>588</v>
      </c>
      <c r="J90" s="447" t="s">
        <v>198</v>
      </c>
      <c r="K90" s="416">
        <v>12</v>
      </c>
      <c r="L90" s="449" t="s">
        <v>24</v>
      </c>
      <c r="M90" s="449" t="s">
        <v>186</v>
      </c>
      <c r="N90" s="455">
        <v>426000</v>
      </c>
      <c r="O90" s="436"/>
      <c r="P90" s="418">
        <f>+N90</f>
        <v>426000</v>
      </c>
      <c r="Q90" s="436"/>
      <c r="R90" s="459">
        <v>98000</v>
      </c>
      <c r="S90" s="455"/>
      <c r="T90" s="436">
        <f>+R90+S90</f>
        <v>98000</v>
      </c>
      <c r="U90" s="436"/>
      <c r="V90" s="455"/>
      <c r="W90" s="436"/>
      <c r="X90" s="391"/>
      <c r="Y90" s="391"/>
      <c r="Z90" s="391"/>
      <c r="AA90" s="391"/>
      <c r="AB90" s="391"/>
    </row>
    <row r="91" spans="1:29" s="410" customFormat="1" ht="33" customHeight="1" x14ac:dyDescent="0.2">
      <c r="A91" s="489"/>
      <c r="B91" s="964" t="s">
        <v>192</v>
      </c>
      <c r="C91" s="965"/>
      <c r="D91" s="965"/>
      <c r="E91" s="965"/>
      <c r="F91" s="965"/>
      <c r="G91" s="965"/>
      <c r="H91" s="965"/>
      <c r="I91" s="965"/>
      <c r="J91" s="965"/>
      <c r="K91" s="490"/>
      <c r="L91" s="430"/>
      <c r="M91" s="431"/>
      <c r="N91" s="460">
        <f t="shared" ref="N91:P91" si="15">SUM(N90)</f>
        <v>426000</v>
      </c>
      <c r="O91" s="460">
        <f t="shared" si="15"/>
        <v>0</v>
      </c>
      <c r="P91" s="460">
        <f t="shared" si="15"/>
        <v>426000</v>
      </c>
      <c r="Q91" s="460"/>
      <c r="R91" s="460">
        <f>+R90</f>
        <v>98000</v>
      </c>
      <c r="S91" s="460"/>
      <c r="T91" s="460">
        <f>+T90</f>
        <v>98000</v>
      </c>
      <c r="U91" s="460"/>
      <c r="V91" s="460"/>
      <c r="W91" s="460"/>
      <c r="X91" s="391"/>
      <c r="Y91" s="391"/>
      <c r="Z91" s="391"/>
      <c r="AA91" s="391"/>
      <c r="AB91" s="391"/>
    </row>
    <row r="92" spans="1:29" s="410" customFormat="1" ht="33" customHeight="1" x14ac:dyDescent="0.2">
      <c r="A92" s="1016" t="s">
        <v>218</v>
      </c>
      <c r="B92" s="1017"/>
      <c r="C92" s="1017"/>
      <c r="D92" s="1017"/>
      <c r="E92" s="1017"/>
      <c r="F92" s="1017"/>
      <c r="G92" s="1017"/>
      <c r="H92" s="1017"/>
      <c r="I92" s="1017"/>
      <c r="J92" s="1017"/>
      <c r="K92" s="1017"/>
      <c r="L92" s="491"/>
      <c r="M92" s="492"/>
      <c r="N92" s="493">
        <f t="shared" ref="N92:P92" si="16">+N91</f>
        <v>426000</v>
      </c>
      <c r="O92" s="493">
        <f t="shared" si="16"/>
        <v>0</v>
      </c>
      <c r="P92" s="493">
        <f t="shared" si="16"/>
        <v>426000</v>
      </c>
      <c r="Q92" s="493"/>
      <c r="R92" s="493">
        <f>+R91</f>
        <v>98000</v>
      </c>
      <c r="S92" s="493"/>
      <c r="T92" s="493">
        <f>+T91</f>
        <v>98000</v>
      </c>
      <c r="U92" s="493"/>
      <c r="V92" s="493"/>
      <c r="W92" s="493"/>
      <c r="X92" s="391"/>
      <c r="Y92" s="391"/>
      <c r="Z92" s="391"/>
      <c r="AA92" s="391"/>
      <c r="AB92" s="391"/>
    </row>
    <row r="93" spans="1:29" s="410" customFormat="1" ht="33" customHeight="1" x14ac:dyDescent="0.2">
      <c r="A93" s="1018" t="s">
        <v>180</v>
      </c>
      <c r="B93" s="1019"/>
      <c r="C93" s="1019"/>
      <c r="D93" s="1019"/>
      <c r="E93" s="1019"/>
      <c r="F93" s="1019"/>
      <c r="G93" s="1019"/>
      <c r="H93" s="1019"/>
      <c r="I93" s="1019"/>
      <c r="J93" s="1019"/>
      <c r="K93" s="1019"/>
      <c r="L93" s="494"/>
      <c r="M93" s="381"/>
      <c r="N93" s="478">
        <f>+N34+N89+N92</f>
        <v>849500000</v>
      </c>
      <c r="O93" s="478">
        <f>+O34+O89+O92</f>
        <v>0</v>
      </c>
      <c r="P93" s="478">
        <f>+P34+P89+P92</f>
        <v>849500000</v>
      </c>
      <c r="Q93" s="478"/>
      <c r="R93" s="478">
        <f>+R34+R89+R91-88825</f>
        <v>791006233</v>
      </c>
      <c r="S93" s="478"/>
      <c r="T93" s="478">
        <v>791006233</v>
      </c>
      <c r="U93" s="478"/>
      <c r="V93" s="478"/>
      <c r="W93" s="478"/>
      <c r="X93" s="391"/>
      <c r="Y93" s="391"/>
      <c r="Z93" s="391"/>
      <c r="AA93" s="391"/>
      <c r="AB93" s="391"/>
      <c r="AC93" s="495"/>
    </row>
    <row r="94" spans="1:29" s="410" customFormat="1" ht="33" customHeight="1" x14ac:dyDescent="0.2">
      <c r="A94" s="383"/>
      <c r="B94" s="496"/>
      <c r="C94" s="496"/>
      <c r="D94" s="496"/>
      <c r="E94" s="497"/>
      <c r="F94" s="496"/>
      <c r="G94" s="496"/>
      <c r="H94" s="496"/>
      <c r="I94" s="496"/>
      <c r="J94" s="498"/>
      <c r="K94" s="496"/>
      <c r="L94" s="496"/>
      <c r="M94" s="496"/>
      <c r="N94" s="499" t="e">
        <f>+N9+N14+N16+N17+N18+N19+#REF!+N20+#REF!+#REF!+N21+#REF!+N27+N30+N35+N36+N37+N38+N41+N48+N49+N54+N56+N60+N62+N63+N64+N68+N78+N80+N81+N84+N86</f>
        <v>#REF!</v>
      </c>
      <c r="O94" s="500"/>
      <c r="P94" s="500"/>
      <c r="Q94" s="500"/>
      <c r="R94" s="500"/>
      <c r="S94" s="500"/>
      <c r="T94" s="501"/>
      <c r="U94" s="502"/>
      <c r="V94" s="390"/>
      <c r="W94" s="391"/>
      <c r="X94" s="391"/>
      <c r="Y94" s="391"/>
      <c r="Z94" s="391"/>
      <c r="AA94" s="391"/>
      <c r="AB94" s="391"/>
    </row>
    <row r="95" spans="1:29" s="410" customFormat="1" ht="33" customHeight="1" x14ac:dyDescent="0.2">
      <c r="A95" s="383"/>
      <c r="B95" s="383"/>
      <c r="C95" s="383"/>
      <c r="D95" s="383"/>
      <c r="E95" s="503"/>
      <c r="J95" s="383"/>
      <c r="K95" s="383"/>
      <c r="L95" s="383"/>
      <c r="M95" s="383"/>
      <c r="N95" s="504"/>
      <c r="O95" s="1020"/>
      <c r="P95" s="1020"/>
      <c r="Q95" s="500"/>
      <c r="R95" s="500"/>
      <c r="S95" s="505"/>
      <c r="T95" s="500"/>
      <c r="U95" s="390"/>
      <c r="V95" s="390"/>
      <c r="W95" s="391"/>
      <c r="X95" s="391"/>
      <c r="Y95" s="391"/>
      <c r="Z95" s="391"/>
      <c r="AA95" s="391"/>
      <c r="AB95" s="391"/>
    </row>
    <row r="96" spans="1:29" s="410" customFormat="1" ht="33" customHeight="1" x14ac:dyDescent="0.2">
      <c r="A96" s="383"/>
      <c r="B96" s="383"/>
      <c r="C96" s="383"/>
      <c r="D96" s="383"/>
      <c r="E96" s="503"/>
      <c r="J96" s="383"/>
      <c r="K96" s="383"/>
      <c r="L96" s="383"/>
      <c r="M96" s="383"/>
      <c r="N96" s="504"/>
      <c r="O96" s="506"/>
      <c r="P96" s="500"/>
      <c r="Q96" s="500"/>
      <c r="R96" s="505"/>
      <c r="S96" s="390"/>
      <c r="T96" s="505"/>
      <c r="U96" s="390"/>
      <c r="V96" s="390"/>
      <c r="W96" s="391"/>
      <c r="X96" s="391"/>
      <c r="Y96" s="391"/>
      <c r="Z96" s="391"/>
      <c r="AA96" s="391"/>
      <c r="AB96" s="391"/>
    </row>
    <row r="97" spans="1:28" s="507" customFormat="1" ht="33" customHeight="1" x14ac:dyDescent="0.25">
      <c r="B97" s="1015" t="s">
        <v>19</v>
      </c>
      <c r="C97" s="1015"/>
      <c r="D97" s="1015"/>
      <c r="E97" s="1015"/>
      <c r="F97" s="383"/>
      <c r="G97" s="383"/>
      <c r="H97" s="383"/>
      <c r="I97" s="383"/>
      <c r="K97" s="1011" t="s">
        <v>34</v>
      </c>
      <c r="L97" s="1011"/>
      <c r="M97" s="1011"/>
      <c r="N97" s="1011"/>
      <c r="O97" s="1011"/>
      <c r="P97" s="508"/>
      <c r="Q97" s="508"/>
      <c r="R97" s="509"/>
    </row>
    <row r="98" spans="1:28" s="507" customFormat="1" ht="33" customHeight="1" x14ac:dyDescent="0.25">
      <c r="B98" s="1014" t="s">
        <v>38</v>
      </c>
      <c r="C98" s="1014"/>
      <c r="D98" s="1014"/>
      <c r="E98" s="1014"/>
      <c r="F98" s="383"/>
      <c r="G98" s="383"/>
      <c r="H98" s="383"/>
      <c r="I98" s="383"/>
      <c r="J98" s="510"/>
      <c r="K98" s="1010" t="s">
        <v>30</v>
      </c>
      <c r="L98" s="1010"/>
      <c r="M98" s="1010"/>
      <c r="N98" s="1010"/>
      <c r="O98" s="1010"/>
      <c r="P98" s="511"/>
      <c r="Q98" s="511"/>
    </row>
    <row r="99" spans="1:28" s="507" customFormat="1" ht="33" customHeight="1" x14ac:dyDescent="0.25">
      <c r="F99" s="512"/>
      <c r="G99" s="512"/>
      <c r="H99" s="512"/>
      <c r="I99" s="512"/>
      <c r="J99" s="513"/>
      <c r="K99" s="513"/>
      <c r="L99" s="514"/>
      <c r="M99" s="514"/>
      <c r="N99" s="515"/>
      <c r="O99" s="515"/>
      <c r="P99" s="515"/>
      <c r="Q99" s="515"/>
    </row>
    <row r="100" spans="1:28" s="410" customFormat="1" ht="33" customHeight="1" x14ac:dyDescent="0.2">
      <c r="A100" s="383"/>
      <c r="B100" s="1013" t="s">
        <v>39</v>
      </c>
      <c r="C100" s="1013"/>
      <c r="D100" s="1013"/>
      <c r="E100" s="1013"/>
      <c r="F100" s="516"/>
      <c r="G100" s="516"/>
      <c r="H100" s="516"/>
      <c r="I100" s="516"/>
      <c r="J100" s="383"/>
      <c r="K100" s="1011" t="s">
        <v>181</v>
      </c>
      <c r="L100" s="1011"/>
      <c r="M100" s="1011"/>
      <c r="N100" s="1011"/>
      <c r="O100" s="1011"/>
      <c r="P100" s="383"/>
      <c r="Q100" s="383"/>
      <c r="R100" s="390"/>
      <c r="S100" s="390"/>
      <c r="T100" s="390"/>
      <c r="U100" s="390"/>
      <c r="V100" s="390"/>
      <c r="W100" s="391"/>
      <c r="X100" s="391"/>
      <c r="Y100" s="391"/>
      <c r="Z100" s="391"/>
      <c r="AA100" s="391"/>
      <c r="AB100" s="391"/>
    </row>
    <row r="101" spans="1:28" s="410" customFormat="1" ht="33" customHeight="1" x14ac:dyDescent="0.2">
      <c r="A101" s="383"/>
      <c r="B101" s="1012" t="s">
        <v>29</v>
      </c>
      <c r="C101" s="1012"/>
      <c r="D101" s="1012"/>
      <c r="E101" s="1012"/>
      <c r="F101" s="383"/>
      <c r="G101" s="383"/>
      <c r="H101" s="383"/>
      <c r="I101" s="383"/>
      <c r="J101" s="383"/>
      <c r="K101" s="1012" t="s">
        <v>182</v>
      </c>
      <c r="L101" s="1012"/>
      <c r="M101" s="1012"/>
      <c r="N101" s="1012"/>
      <c r="O101" s="1012"/>
      <c r="P101" s="383"/>
      <c r="Q101" s="383"/>
      <c r="R101" s="390"/>
      <c r="S101" s="390"/>
      <c r="T101" s="390"/>
      <c r="U101" s="390"/>
      <c r="V101" s="390"/>
      <c r="W101" s="391"/>
      <c r="X101" s="391"/>
      <c r="Y101" s="391"/>
      <c r="Z101" s="391"/>
      <c r="AA101" s="391"/>
      <c r="AB101" s="391"/>
    </row>
    <row r="102" spans="1:28" s="410" customFormat="1" ht="33" customHeight="1" x14ac:dyDescent="0.2">
      <c r="A102" s="383"/>
      <c r="B102" s="383"/>
      <c r="C102" s="383"/>
      <c r="D102" s="383"/>
      <c r="E102" s="503"/>
      <c r="F102" s="383"/>
      <c r="G102" s="383"/>
      <c r="H102" s="383"/>
      <c r="I102" s="383"/>
      <c r="J102" s="383"/>
      <c r="K102" s="383"/>
      <c r="L102" s="383"/>
      <c r="M102" s="383"/>
      <c r="N102" s="383"/>
      <c r="O102" s="383"/>
      <c r="P102" s="383"/>
      <c r="Q102" s="383"/>
      <c r="R102" s="390"/>
      <c r="S102" s="390"/>
      <c r="T102" s="390"/>
      <c r="U102" s="390"/>
      <c r="V102" s="390"/>
      <c r="W102" s="391"/>
      <c r="X102" s="391"/>
      <c r="Y102" s="391"/>
      <c r="Z102" s="391"/>
      <c r="AA102" s="391"/>
      <c r="AB102" s="391"/>
    </row>
    <row r="103" spans="1:28" ht="33" customHeight="1" x14ac:dyDescent="0.2">
      <c r="A103" s="406"/>
      <c r="B103" s="406"/>
      <c r="C103" s="406"/>
      <c r="D103" s="406"/>
      <c r="E103" s="517"/>
      <c r="F103" s="406"/>
      <c r="G103" s="406"/>
      <c r="H103" s="406"/>
      <c r="I103" s="406"/>
      <c r="J103" s="406"/>
      <c r="K103" s="406"/>
      <c r="L103" s="406"/>
      <c r="M103" s="406"/>
      <c r="N103" s="406"/>
      <c r="O103" s="406"/>
      <c r="P103" s="406"/>
      <c r="Q103" s="406"/>
      <c r="R103" s="390"/>
      <c r="S103" s="390"/>
      <c r="T103" s="390"/>
      <c r="U103" s="390"/>
      <c r="V103" s="390"/>
    </row>
    <row r="104" spans="1:28" ht="33" customHeight="1" x14ac:dyDescent="0.2">
      <c r="A104" s="406"/>
      <c r="B104" s="406"/>
      <c r="C104" s="406"/>
      <c r="D104" s="406"/>
      <c r="E104" s="517"/>
      <c r="F104" s="406"/>
      <c r="G104" s="406"/>
      <c r="H104" s="406"/>
      <c r="I104" s="406"/>
      <c r="J104" s="406"/>
      <c r="K104" s="406"/>
      <c r="L104" s="406"/>
      <c r="M104" s="406"/>
      <c r="N104" s="406"/>
      <c r="O104" s="406"/>
      <c r="P104" s="406"/>
      <c r="Q104" s="406"/>
      <c r="R104" s="390"/>
      <c r="S104" s="390"/>
      <c r="T104" s="390"/>
      <c r="U104" s="390"/>
      <c r="V104" s="390"/>
      <c r="W104" s="392"/>
      <c r="X104" s="392"/>
      <c r="Y104" s="392"/>
      <c r="Z104" s="392"/>
      <c r="AA104" s="392"/>
      <c r="AB104" s="392"/>
    </row>
  </sheetData>
  <autoFilter ref="U6:W94"/>
  <mergeCells count="73">
    <mergeCell ref="A79:A85"/>
    <mergeCell ref="A9:A12"/>
    <mergeCell ref="A27:A28"/>
    <mergeCell ref="K97:O97"/>
    <mergeCell ref="B40:K40"/>
    <mergeCell ref="B97:E97"/>
    <mergeCell ref="B33:K33"/>
    <mergeCell ref="A92:K92"/>
    <mergeCell ref="B91:J91"/>
    <mergeCell ref="A93:K93"/>
    <mergeCell ref="L73:L76"/>
    <mergeCell ref="O95:P95"/>
    <mergeCell ref="B80:B84"/>
    <mergeCell ref="B60:B65"/>
    <mergeCell ref="B79:K79"/>
    <mergeCell ref="A89:K89"/>
    <mergeCell ref="B85:K85"/>
    <mergeCell ref="B72:K72"/>
    <mergeCell ref="B66:K66"/>
    <mergeCell ref="B77:K77"/>
    <mergeCell ref="B73:B76"/>
    <mergeCell ref="B88:K88"/>
    <mergeCell ref="K98:O98"/>
    <mergeCell ref="K100:O100"/>
    <mergeCell ref="K101:O101"/>
    <mergeCell ref="B100:E100"/>
    <mergeCell ref="B101:E101"/>
    <mergeCell ref="B98:E98"/>
    <mergeCell ref="N3:P3"/>
    <mergeCell ref="E1:L5"/>
    <mergeCell ref="N1:P1"/>
    <mergeCell ref="E7:E8"/>
    <mergeCell ref="C7:C8"/>
    <mergeCell ref="D7:D8"/>
    <mergeCell ref="O4:P4"/>
    <mergeCell ref="F7:F8"/>
    <mergeCell ref="G7:G8"/>
    <mergeCell ref="J7:L7"/>
    <mergeCell ref="W6:W8"/>
    <mergeCell ref="T7:T8"/>
    <mergeCell ref="R7:R8"/>
    <mergeCell ref="R6:T6"/>
    <mergeCell ref="V6:V8"/>
    <mergeCell ref="U6:U8"/>
    <mergeCell ref="A6:B6"/>
    <mergeCell ref="E6:P6"/>
    <mergeCell ref="N7:N8"/>
    <mergeCell ref="O7:O8"/>
    <mergeCell ref="P7:P8"/>
    <mergeCell ref="A7:A8"/>
    <mergeCell ref="B7:B8"/>
    <mergeCell ref="H7:H8"/>
    <mergeCell ref="B59:K59"/>
    <mergeCell ref="A14:A26"/>
    <mergeCell ref="A41:A52"/>
    <mergeCell ref="Q7:Q8"/>
    <mergeCell ref="A54:A58"/>
    <mergeCell ref="A60:A66"/>
    <mergeCell ref="A67:A70"/>
    <mergeCell ref="B14:B24"/>
    <mergeCell ref="B13:K13"/>
    <mergeCell ref="B26:K26"/>
    <mergeCell ref="B67:B71"/>
    <mergeCell ref="B27:B28"/>
    <mergeCell ref="B29:K29"/>
    <mergeCell ref="B53:K53"/>
    <mergeCell ref="A34:L34"/>
    <mergeCell ref="B35:B39"/>
    <mergeCell ref="A35:A40"/>
    <mergeCell ref="B41:B52"/>
    <mergeCell ref="B30:B32"/>
    <mergeCell ref="A30:A33"/>
    <mergeCell ref="B54:B58"/>
  </mergeCells>
  <hyperlinks>
    <hyperlink ref="I9" r:id="rId1"/>
    <hyperlink ref="I35" r:id="rId2"/>
    <hyperlink ref="I49" r:id="rId3"/>
    <hyperlink ref="I67" r:id="rId4"/>
    <hyperlink ref="I68" r:id="rId5"/>
    <hyperlink ref="I86" r:id="rId6"/>
    <hyperlink ref="I70" r:id="rId7"/>
  </hyperlinks>
  <printOptions horizontalCentered="1" verticalCentered="1"/>
  <pageMargins left="0.11811023622047245" right="0.11811023622047245" top="0.15748031496062992" bottom="0.35433070866141736" header="0.11811023622047245" footer="0.31496062992125984"/>
  <pageSetup paperSize="14" scale="53" orientation="landscape" r:id="rId8"/>
  <headerFooter>
    <oddFooter>&amp;LElaboró : Oficina Asesora de PlaneaciónMartha Quintero B&amp;C&amp;P
Se Modifica de acuerdo al Memorando No, 1634 de 20/11/2017&amp;RVERSIÓN No. 6</oddFooter>
  </headerFooter>
  <rowBreaks count="3" manualBreakCount="3">
    <brk id="29" max="25" man="1"/>
    <brk id="59" max="25" man="1"/>
    <brk id="72" max="23" man="1"/>
  </rowBreaks>
  <colBreaks count="3" manualBreakCount="3">
    <brk id="16" max="79" man="1"/>
    <brk id="23" max="78" man="1"/>
    <brk id="28" max="1048575" man="1"/>
  </colBreaks>
  <drawing r:id="rId9"/>
  <legacy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
  <sheetViews>
    <sheetView topLeftCell="A3" zoomScaleNormal="100" workbookViewId="0">
      <selection activeCell="I7" sqref="I7"/>
    </sheetView>
  </sheetViews>
  <sheetFormatPr baseColWidth="10" defaultRowHeight="15" x14ac:dyDescent="0.25"/>
  <cols>
    <col min="1" max="1" width="17.42578125" customWidth="1"/>
    <col min="2" max="2" width="17.85546875" bestFit="1" customWidth="1"/>
    <col min="3" max="4" width="16.28515625" bestFit="1" customWidth="1"/>
    <col min="5" max="5" width="11.5703125" style="6" customWidth="1"/>
    <col min="6" max="6" width="15.140625" bestFit="1" customWidth="1"/>
    <col min="7" max="7" width="18.42578125" customWidth="1"/>
  </cols>
  <sheetData>
    <row r="2" spans="1:9" ht="15.75" thickBot="1" x14ac:dyDescent="0.3"/>
    <row r="3" spans="1:9" ht="15.75" thickBot="1" x14ac:dyDescent="0.3">
      <c r="A3" s="1023" t="s">
        <v>703</v>
      </c>
      <c r="B3" s="1024"/>
      <c r="C3" s="1024"/>
      <c r="D3" s="1024"/>
      <c r="E3" s="1025"/>
      <c r="F3" s="178"/>
      <c r="G3" s="1023" t="s">
        <v>717</v>
      </c>
      <c r="H3" s="1024"/>
      <c r="I3" s="1025"/>
    </row>
    <row r="4" spans="1:9" ht="31.5" customHeight="1" x14ac:dyDescent="0.25">
      <c r="A4" s="180" t="s">
        <v>476</v>
      </c>
      <c r="B4" s="182" t="s">
        <v>472</v>
      </c>
      <c r="C4" s="182" t="s">
        <v>473</v>
      </c>
      <c r="D4" s="182" t="s">
        <v>474</v>
      </c>
      <c r="E4" s="182" t="s">
        <v>475</v>
      </c>
      <c r="G4" s="180" t="s">
        <v>476</v>
      </c>
      <c r="H4" s="181" t="s">
        <v>477</v>
      </c>
      <c r="I4" s="182" t="s">
        <v>478</v>
      </c>
    </row>
    <row r="5" spans="1:9" x14ac:dyDescent="0.25">
      <c r="A5" s="4" t="s">
        <v>471</v>
      </c>
      <c r="B5" s="126">
        <f>849500000/1000000</f>
        <v>849.5</v>
      </c>
      <c r="C5" s="126">
        <v>812</v>
      </c>
      <c r="D5" s="126">
        <v>797</v>
      </c>
      <c r="E5" s="126">
        <v>572</v>
      </c>
      <c r="G5" s="4" t="s">
        <v>471</v>
      </c>
      <c r="H5" s="127">
        <f>+D5/B5</f>
        <v>0.93819894055326658</v>
      </c>
      <c r="I5" s="127">
        <f>+E5/B5</f>
        <v>0.67333725721012361</v>
      </c>
    </row>
    <row r="6" spans="1:9" x14ac:dyDescent="0.25">
      <c r="A6" s="4" t="s">
        <v>468</v>
      </c>
      <c r="B6" s="126">
        <f>6186914900/1000000</f>
        <v>6186.9148999999998</v>
      </c>
      <c r="C6" s="126">
        <v>6187</v>
      </c>
      <c r="D6" s="126">
        <v>6170</v>
      </c>
      <c r="E6" s="126">
        <v>4735</v>
      </c>
      <c r="G6" s="4" t="s">
        <v>468</v>
      </c>
      <c r="H6" s="128">
        <f>+D6/B6</f>
        <v>0.99726602025833588</v>
      </c>
      <c r="I6" s="127">
        <f>+E6/B6</f>
        <v>0.76532489561154304</v>
      </c>
    </row>
    <row r="7" spans="1:9" x14ac:dyDescent="0.25">
      <c r="A7" s="129" t="s">
        <v>479</v>
      </c>
      <c r="B7" s="130">
        <f>SUM(B5:B6)</f>
        <v>7036.4148999999998</v>
      </c>
      <c r="C7" s="130">
        <f t="shared" ref="C7:D7" si="0">SUM(C5:C6)</f>
        <v>6999</v>
      </c>
      <c r="D7" s="130">
        <f t="shared" si="0"/>
        <v>6967</v>
      </c>
      <c r="E7" s="132">
        <f>SUM(E5:E6)</f>
        <v>5307</v>
      </c>
      <c r="G7" s="129" t="s">
        <v>479</v>
      </c>
      <c r="H7" s="131">
        <f>+D7/B7</f>
        <v>0.99013490520577463</v>
      </c>
      <c r="I7" s="131">
        <f>+E7/B7</f>
        <v>0.75421931131434561</v>
      </c>
    </row>
    <row r="9" spans="1:9" x14ac:dyDescent="0.25">
      <c r="D9" s="125"/>
    </row>
    <row r="10" spans="1:9" x14ac:dyDescent="0.25">
      <c r="G10" s="70">
        <f>+'GASTOS GENERALES'!T93</f>
        <v>791006233</v>
      </c>
    </row>
    <row r="11" spans="1:9" x14ac:dyDescent="0.25">
      <c r="G11" s="187">
        <f>+'Plan de Adquisiciones '!X175</f>
        <v>6170889020</v>
      </c>
      <c r="I11">
        <f>+C5/B5</f>
        <v>0.95585638610947621</v>
      </c>
    </row>
    <row r="12" spans="1:9" x14ac:dyDescent="0.25">
      <c r="G12" s="187">
        <f>+G10+G11</f>
        <v>6961895253</v>
      </c>
    </row>
    <row r="14" spans="1:9" x14ac:dyDescent="0.25">
      <c r="G14" s="179"/>
      <c r="H14">
        <f>+C7/B7</f>
        <v>0.99468267569042867</v>
      </c>
    </row>
    <row r="16" spans="1:9" x14ac:dyDescent="0.25">
      <c r="H16">
        <f>+D7/B7</f>
        <v>0.99013490520577463</v>
      </c>
    </row>
    <row r="17" spans="7:7" x14ac:dyDescent="0.25">
      <c r="G17" s="179"/>
    </row>
  </sheetData>
  <mergeCells count="2">
    <mergeCell ref="A3:E3"/>
    <mergeCell ref="G3:I3"/>
  </mergeCells>
  <pageMargins left="0.7" right="0.7" top="0.75" bottom="0.75" header="0.3" footer="0.3"/>
  <pageSetup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zoomScale="80" zoomScaleNormal="80" workbookViewId="0">
      <selection activeCell="M5" sqref="M5"/>
    </sheetView>
  </sheetViews>
  <sheetFormatPr baseColWidth="10" defaultColWidth="9.140625" defaultRowHeight="15" x14ac:dyDescent="0.25"/>
  <cols>
    <col min="1" max="1" width="17.42578125" style="279" customWidth="1"/>
    <col min="2" max="2" width="50.28515625" style="279" customWidth="1"/>
    <col min="3" max="3" width="15" style="279" customWidth="1"/>
    <col min="4" max="4" width="16.85546875" style="279" customWidth="1"/>
    <col min="5" max="5" width="15.85546875" style="279" customWidth="1"/>
    <col min="6" max="6" width="15.28515625" style="279" customWidth="1"/>
    <col min="7" max="7" width="12.42578125" style="279" customWidth="1"/>
    <col min="8" max="8" width="12" style="279" customWidth="1"/>
    <col min="9" max="9" width="14.85546875" style="280" customWidth="1"/>
    <col min="10" max="10" width="12.28515625" style="280" customWidth="1"/>
    <col min="11" max="11" width="12.5703125" style="279" customWidth="1"/>
    <col min="12" max="12" width="15.7109375" style="279" customWidth="1"/>
    <col min="13" max="13" width="16.28515625" style="279" customWidth="1"/>
    <col min="14" max="14" width="14.140625" style="279" customWidth="1"/>
    <col min="15" max="15" width="17.7109375" style="279" customWidth="1"/>
    <col min="16" max="16" width="17.5703125" style="279" customWidth="1"/>
    <col min="17" max="17" width="18.140625" style="279" customWidth="1"/>
    <col min="18" max="18" width="9.140625" style="279" customWidth="1"/>
    <col min="19" max="19" width="17.140625" style="6" customWidth="1"/>
    <col min="20" max="16384" width="9.140625" style="6"/>
  </cols>
  <sheetData>
    <row r="1" spans="1:18" x14ac:dyDescent="0.25">
      <c r="A1" s="1026" t="s">
        <v>551</v>
      </c>
      <c r="B1" s="1027"/>
      <c r="C1" s="1027"/>
      <c r="D1" s="1027"/>
      <c r="E1" s="1027"/>
      <c r="F1" s="1027"/>
      <c r="G1" s="1027"/>
      <c r="H1" s="1027"/>
      <c r="I1" s="1028"/>
      <c r="J1" s="1028"/>
      <c r="K1" s="1027"/>
      <c r="L1" s="1027"/>
      <c r="M1" s="1027"/>
      <c r="N1" s="1027"/>
      <c r="O1" s="1027"/>
      <c r="P1" s="1027"/>
      <c r="Q1" s="1027"/>
      <c r="R1" s="6"/>
    </row>
    <row r="2" spans="1:18" x14ac:dyDescent="0.25">
      <c r="A2" s="1027"/>
      <c r="B2" s="1027"/>
      <c r="C2" s="1027"/>
      <c r="D2" s="1027"/>
      <c r="E2" s="1027"/>
      <c r="F2" s="1027"/>
      <c r="G2" s="1027"/>
      <c r="H2" s="1027"/>
      <c r="I2" s="1028"/>
      <c r="J2" s="1028"/>
      <c r="K2" s="1027"/>
      <c r="L2" s="1027"/>
      <c r="M2" s="1027"/>
      <c r="N2" s="1027"/>
      <c r="O2" s="1027"/>
      <c r="P2" s="1027"/>
      <c r="Q2" s="1027"/>
      <c r="R2" s="6"/>
    </row>
    <row r="3" spans="1:18" x14ac:dyDescent="0.25">
      <c r="A3" s="1027"/>
      <c r="B3" s="1027"/>
      <c r="C3" s="1027"/>
      <c r="D3" s="1027"/>
      <c r="E3" s="1027"/>
      <c r="F3" s="1027"/>
      <c r="G3" s="1027"/>
      <c r="H3" s="1027"/>
      <c r="I3" s="1028"/>
      <c r="J3" s="1028"/>
      <c r="K3" s="1027"/>
      <c r="L3" s="1027"/>
      <c r="M3" s="1027"/>
      <c r="N3" s="1027"/>
      <c r="O3" s="1027"/>
      <c r="P3" s="1027"/>
      <c r="Q3" s="1027"/>
      <c r="R3" s="6"/>
    </row>
    <row r="4" spans="1:18" ht="89.25" x14ac:dyDescent="0.25">
      <c r="A4" s="276" t="s">
        <v>552</v>
      </c>
      <c r="B4" s="276" t="s">
        <v>23</v>
      </c>
      <c r="C4" s="276" t="s">
        <v>553</v>
      </c>
      <c r="D4" s="276" t="s">
        <v>554</v>
      </c>
      <c r="E4" s="276" t="s">
        <v>555</v>
      </c>
      <c r="F4" s="276" t="s">
        <v>556</v>
      </c>
      <c r="G4" s="276" t="s">
        <v>557</v>
      </c>
      <c r="H4" s="276" t="s">
        <v>558</v>
      </c>
      <c r="I4" s="277" t="s">
        <v>559</v>
      </c>
      <c r="J4" s="277" t="s">
        <v>560</v>
      </c>
      <c r="K4" s="276" t="s">
        <v>561</v>
      </c>
      <c r="L4" s="276" t="s">
        <v>562</v>
      </c>
      <c r="M4" s="276" t="s">
        <v>563</v>
      </c>
      <c r="N4" s="276" t="s">
        <v>564</v>
      </c>
      <c r="O4" s="276" t="s">
        <v>565</v>
      </c>
      <c r="P4" s="276" t="s">
        <v>566</v>
      </c>
      <c r="Q4" s="276" t="s">
        <v>567</v>
      </c>
      <c r="R4" s="6"/>
    </row>
    <row r="5" spans="1:18" ht="67.5" customHeight="1" x14ac:dyDescent="0.25">
      <c r="A5" s="289">
        <f>+'GASTOS GENERALES'!F9</f>
        <v>93141506</v>
      </c>
      <c r="B5" s="282" t="str">
        <f>+'GASTOS GENERALES'!E9</f>
        <v>Compra de dotación  Integral (vestido y calzado de labor), que tienen derecho a ella por disposiciones de Ley para el año 2017</v>
      </c>
      <c r="C5" s="285">
        <v>4</v>
      </c>
      <c r="D5" s="285">
        <v>5</v>
      </c>
      <c r="E5" s="285">
        <f>+'GASTOS GENERALES'!K9</f>
        <v>1</v>
      </c>
      <c r="F5" s="285">
        <v>1</v>
      </c>
      <c r="G5" s="282" t="s">
        <v>614</v>
      </c>
      <c r="H5" s="282">
        <v>0</v>
      </c>
      <c r="I5" s="283">
        <f>+'GASTOS GENERALES'!P9</f>
        <v>1358990</v>
      </c>
      <c r="J5" s="283">
        <f>+'GASTOS GENERALES'!P9</f>
        <v>1358990</v>
      </c>
      <c r="K5" s="282">
        <v>0</v>
      </c>
      <c r="L5" s="289">
        <v>0</v>
      </c>
      <c r="M5" s="282" t="s">
        <v>617</v>
      </c>
      <c r="N5" s="278" t="s">
        <v>613</v>
      </c>
      <c r="O5" s="281" t="str">
        <f>+'GASTOS GENERALES'!G9</f>
        <v>Profesional Especializado 222-03 
Área de Talento Humano</v>
      </c>
      <c r="P5" s="281">
        <v>2630603</v>
      </c>
      <c r="Q5" s="281" t="str">
        <f>+'GASTOS GENERALES'!I9</f>
        <v>nbeltran@idep.edu.co</v>
      </c>
      <c r="R5" s="6"/>
    </row>
    <row r="6" spans="1:18" ht="87" customHeight="1" x14ac:dyDescent="0.25">
      <c r="A6" s="289">
        <f>+'GASTOS GENERALES'!F10</f>
        <v>93141506</v>
      </c>
      <c r="B6" s="282" t="str">
        <f>+'GASTOS GENERALES'!E10</f>
        <v>Compra de dotación  Integral (vestido y calzado de labor) para los funcionarios del IDEP,  que tienen derecho a ella por disposiciones de Ley para el año 2017 para el último periodo del año comprendidos entre septiembre y diciembre de 2017.</v>
      </c>
      <c r="C6" s="285">
        <v>9</v>
      </c>
      <c r="D6" s="285">
        <v>9</v>
      </c>
      <c r="E6" s="285">
        <f>+'GASTOS GENERALES'!K10</f>
        <v>1</v>
      </c>
      <c r="F6" s="285">
        <v>2</v>
      </c>
      <c r="G6" s="282" t="s">
        <v>614</v>
      </c>
      <c r="H6" s="282">
        <v>0</v>
      </c>
      <c r="I6" s="283">
        <f>+'GASTOS GENERALES'!P10</f>
        <v>917847</v>
      </c>
      <c r="J6" s="283">
        <f>+'GASTOS GENERALES'!P10</f>
        <v>917847</v>
      </c>
      <c r="K6" s="282">
        <v>0</v>
      </c>
      <c r="L6" s="289">
        <v>0</v>
      </c>
      <c r="M6" s="282" t="s">
        <v>617</v>
      </c>
      <c r="N6" s="289" t="s">
        <v>613</v>
      </c>
      <c r="O6" s="282" t="str">
        <f>+'GASTOS GENERALES'!G10</f>
        <v>Profesional Especializado 222-03 
Área de Talento Humano</v>
      </c>
      <c r="P6" s="282">
        <v>2630603</v>
      </c>
      <c r="Q6" s="282" t="str">
        <f>+'GASTOS GENERALES'!I10</f>
        <v xml:space="preserve"> nbeltran@idep.edu.co</v>
      </c>
      <c r="R6" s="6"/>
    </row>
    <row r="7" spans="1:18" ht="48.75" customHeight="1" x14ac:dyDescent="0.25">
      <c r="A7" s="289">
        <f>+'GASTOS GENERALES'!F14</f>
        <v>81111811</v>
      </c>
      <c r="B7" s="282" t="str">
        <f>+'GASTOS GENERALES'!E14</f>
        <v>Prestación de servicios  de soporte y actualización del sistema de información administrativo y financiero  del IDEP</v>
      </c>
      <c r="C7" s="285">
        <v>7</v>
      </c>
      <c r="D7" s="285">
        <v>7</v>
      </c>
      <c r="E7" s="285">
        <f>+'GASTOS GENERALES'!K14</f>
        <v>9</v>
      </c>
      <c r="F7" s="285">
        <v>1</v>
      </c>
      <c r="G7" s="282" t="s">
        <v>570</v>
      </c>
      <c r="H7" s="282">
        <v>0</v>
      </c>
      <c r="I7" s="283">
        <f>+'GASTOS GENERALES'!P14</f>
        <v>44725555</v>
      </c>
      <c r="J7" s="283">
        <f>+'GASTOS GENERALES'!P14</f>
        <v>44725555</v>
      </c>
      <c r="K7" s="282">
        <v>0</v>
      </c>
      <c r="L7" s="289">
        <v>0</v>
      </c>
      <c r="M7" s="282" t="s">
        <v>617</v>
      </c>
      <c r="N7" s="278" t="s">
        <v>613</v>
      </c>
      <c r="O7" s="281" t="str">
        <f>+'GASTOS GENERALES'!G14</f>
        <v>Jefe Oficina  Asesora de planeación</v>
      </c>
      <c r="P7" s="281">
        <v>2630603</v>
      </c>
      <c r="Q7" s="281" t="str">
        <f>+'GASTOS GENERALES'!I14</f>
        <v xml:space="preserve"> olsanchez@idep.edu.co</v>
      </c>
      <c r="R7" s="6"/>
    </row>
    <row r="8" spans="1:18" ht="53.25" customHeight="1" x14ac:dyDescent="0.25">
      <c r="A8" s="289">
        <f>+'GASTOS GENERALES'!F17</f>
        <v>81111811</v>
      </c>
      <c r="B8" s="282" t="str">
        <f>+'GASTOS GENERALES'!E17</f>
        <v>Prestación de servicio  de soporte, actualización y mantenimiento al sistema de información HUMANO</v>
      </c>
      <c r="C8" s="285">
        <v>4</v>
      </c>
      <c r="D8" s="285">
        <v>4</v>
      </c>
      <c r="E8" s="285">
        <f>+'GASTOS GENERALES'!K17</f>
        <v>12</v>
      </c>
      <c r="F8" s="285">
        <v>1</v>
      </c>
      <c r="G8" s="282" t="s">
        <v>570</v>
      </c>
      <c r="H8" s="282">
        <v>0</v>
      </c>
      <c r="I8" s="283">
        <f>+'GASTOS GENERALES'!P17</f>
        <v>18175685</v>
      </c>
      <c r="J8" s="283">
        <f>+'GASTOS GENERALES'!P17</f>
        <v>18175685</v>
      </c>
      <c r="K8" s="282">
        <v>0</v>
      </c>
      <c r="L8" s="289">
        <v>0</v>
      </c>
      <c r="M8" s="282" t="s">
        <v>617</v>
      </c>
      <c r="N8" s="278" t="s">
        <v>613</v>
      </c>
      <c r="O8" s="281" t="str">
        <f>+'GASTOS GENERALES'!G17</f>
        <v>Jefe Oficina  Asesora de planeación</v>
      </c>
      <c r="P8" s="281">
        <v>2630603</v>
      </c>
      <c r="Q8" s="281" t="str">
        <f>+'GASTOS GENERALES'!I17</f>
        <v xml:space="preserve"> olsanchez@idep.edu.co</v>
      </c>
      <c r="R8" s="6"/>
    </row>
    <row r="9" spans="1:18" ht="60.75" customHeight="1" x14ac:dyDescent="0.25">
      <c r="A9" s="289">
        <f>+'GASTOS GENERALES'!F18</f>
        <v>81112500</v>
      </c>
      <c r="B9" s="282" t="str">
        <f>+'GASTOS GENERALES'!E18</f>
        <v xml:space="preserve">Prestación de servicios para la renovación de la  licencia "Oracle Database Standard Edición - Processor Perpetual" con nivel de servicios "Software Update License &amp; Support" </v>
      </c>
      <c r="C9" s="285">
        <v>1</v>
      </c>
      <c r="D9" s="285">
        <v>1</v>
      </c>
      <c r="E9" s="285">
        <f>+'GASTOS GENERALES'!K18</f>
        <v>12</v>
      </c>
      <c r="F9" s="285">
        <v>1</v>
      </c>
      <c r="G9" s="282" t="s">
        <v>614</v>
      </c>
      <c r="H9" s="282">
        <v>0</v>
      </c>
      <c r="I9" s="283">
        <f>+'GASTOS GENERALES'!P18</f>
        <v>7647414</v>
      </c>
      <c r="J9" s="283">
        <f>+'GASTOS GENERALES'!P18</f>
        <v>7647414</v>
      </c>
      <c r="K9" s="282">
        <v>0</v>
      </c>
      <c r="L9" s="289">
        <v>0</v>
      </c>
      <c r="M9" s="282" t="s">
        <v>617</v>
      </c>
      <c r="N9" s="278" t="s">
        <v>613</v>
      </c>
      <c r="O9" s="281" t="str">
        <f>+'GASTOS GENERALES'!G18</f>
        <v>Jefe Oficina  Asesora de planeación</v>
      </c>
      <c r="P9" s="281">
        <v>2630603</v>
      </c>
      <c r="Q9" s="281" t="str">
        <f>+'GASTOS GENERALES'!I18</f>
        <v xml:space="preserve"> olsanchez@idep.edu.co</v>
      </c>
      <c r="R9" s="6"/>
    </row>
    <row r="10" spans="1:18" ht="56.25" customHeight="1" x14ac:dyDescent="0.25">
      <c r="A10" s="289">
        <f>+'GASTOS GENERALES'!F19</f>
        <v>40101701</v>
      </c>
      <c r="B10" s="282" t="str">
        <f>+'GASTOS GENERALES'!E19</f>
        <v>Prestación de servicio para realizar el mantenimiento preventivo y correctivo de la unidad de Aire Acondicionado del cuarto de Servidores del IDEP</v>
      </c>
      <c r="C10" s="285">
        <v>4</v>
      </c>
      <c r="D10" s="285">
        <v>5</v>
      </c>
      <c r="E10" s="285">
        <f>+'GASTOS GENERALES'!K19</f>
        <v>12</v>
      </c>
      <c r="F10" s="285">
        <v>1</v>
      </c>
      <c r="G10" s="282" t="s">
        <v>569</v>
      </c>
      <c r="H10" s="282">
        <v>0</v>
      </c>
      <c r="I10" s="283">
        <f>+'GASTOS GENERALES'!P19</f>
        <v>1010000</v>
      </c>
      <c r="J10" s="283">
        <f>+'GASTOS GENERALES'!P19</f>
        <v>1010000</v>
      </c>
      <c r="K10" s="282">
        <v>0</v>
      </c>
      <c r="L10" s="289">
        <v>0</v>
      </c>
      <c r="M10" s="282" t="s">
        <v>617</v>
      </c>
      <c r="N10" s="278" t="s">
        <v>613</v>
      </c>
      <c r="O10" s="281" t="str">
        <f>+'GASTOS GENERALES'!G19</f>
        <v>Jefe Oficina  Asesora de planeación</v>
      </c>
      <c r="P10" s="281">
        <v>2630603</v>
      </c>
      <c r="Q10" s="281" t="str">
        <f>+'GASTOS GENERALES'!I19</f>
        <v xml:space="preserve"> olsanchez@idep.edu.co</v>
      </c>
      <c r="R10" s="6"/>
    </row>
    <row r="11" spans="1:18" ht="64.5" customHeight="1" x14ac:dyDescent="0.25">
      <c r="A11" s="289">
        <f>+'GASTOS GENERALES'!F20</f>
        <v>81111812</v>
      </c>
      <c r="B11" s="282" t="str">
        <f>+'GASTOS GENERALES'!E20</f>
        <v>Prestación de servicio para realizar
el mantenimiento preventivo y correctivo de los equipos que conforman la  plataforma tecnológica del IDEP.</v>
      </c>
      <c r="C11" s="285">
        <v>4</v>
      </c>
      <c r="D11" s="285">
        <v>5</v>
      </c>
      <c r="E11" s="285">
        <f>+'GASTOS GENERALES'!K20</f>
        <v>11</v>
      </c>
      <c r="F11" s="285">
        <v>1</v>
      </c>
      <c r="G11" s="282" t="s">
        <v>569</v>
      </c>
      <c r="H11" s="282">
        <v>0</v>
      </c>
      <c r="I11" s="283">
        <f>+'GASTOS GENERALES'!P20</f>
        <v>5599360</v>
      </c>
      <c r="J11" s="283">
        <f>+'GASTOS GENERALES'!P20</f>
        <v>5599360</v>
      </c>
      <c r="K11" s="296">
        <v>0</v>
      </c>
      <c r="L11" s="297">
        <v>0</v>
      </c>
      <c r="M11" s="282" t="s">
        <v>617</v>
      </c>
      <c r="N11" s="278" t="s">
        <v>613</v>
      </c>
      <c r="O11" s="281" t="str">
        <f>+'GASTOS GENERALES'!G20</f>
        <v>Jefe Oficina  Asesora de planeación</v>
      </c>
      <c r="P11" s="281">
        <v>2630603</v>
      </c>
      <c r="Q11" s="281" t="str">
        <f>+'GASTOS GENERALES'!I20</f>
        <v xml:space="preserve"> olsanchez@idep.edu.co</v>
      </c>
      <c r="R11" s="6"/>
    </row>
    <row r="12" spans="1:18" ht="53.25" customHeight="1" x14ac:dyDescent="0.25">
      <c r="A12" s="289">
        <f>+'GASTOS GENERALES'!F21</f>
        <v>81112501</v>
      </c>
      <c r="B12" s="282" t="str">
        <f>+'GASTOS GENERALES'!E21</f>
        <v>Prestación de servicios para la adquisición de licencias Google Apps</v>
      </c>
      <c r="C12" s="285">
        <v>3</v>
      </c>
      <c r="D12" s="285">
        <v>4</v>
      </c>
      <c r="E12" s="285">
        <f>+'GASTOS GENERALES'!K21</f>
        <v>8</v>
      </c>
      <c r="F12" s="285">
        <v>1</v>
      </c>
      <c r="G12" s="282" t="s">
        <v>614</v>
      </c>
      <c r="H12" s="282">
        <v>0</v>
      </c>
      <c r="I12" s="283">
        <f>+'GASTOS GENERALES'!P21</f>
        <v>14950762</v>
      </c>
      <c r="J12" s="283">
        <f>+'GASTOS GENERALES'!P21</f>
        <v>14950762</v>
      </c>
      <c r="K12" s="282">
        <v>0</v>
      </c>
      <c r="L12" s="289">
        <v>0</v>
      </c>
      <c r="M12" s="282" t="s">
        <v>617</v>
      </c>
      <c r="N12" s="278" t="s">
        <v>613</v>
      </c>
      <c r="O12" s="281" t="str">
        <f>+'GASTOS GENERALES'!G21</f>
        <v>Jefe Oficina  Asesora de planeación</v>
      </c>
      <c r="P12" s="281">
        <v>2630603</v>
      </c>
      <c r="Q12" s="281" t="str">
        <f>+'GASTOS GENERALES'!I21</f>
        <v xml:space="preserve"> olsanchez@idep.edu.co</v>
      </c>
      <c r="R12" s="6"/>
    </row>
    <row r="13" spans="1:18" ht="63.75" customHeight="1" x14ac:dyDescent="0.25">
      <c r="A13" s="282" t="str">
        <f>+'GASTOS GENERALES'!F22</f>
        <v>81112500;
81112200</v>
      </c>
      <c r="B13" s="282" t="str">
        <f>+'GASTOS GENERALES'!E22</f>
        <v>Prestación de servicios para el suministro, instalación, configuración, soporte técnico y puesta en marcha de las licencias de seguridad perimetral Firewall Appliance de propósito específico.</v>
      </c>
      <c r="C13" s="285">
        <v>8</v>
      </c>
      <c r="D13" s="285">
        <v>10</v>
      </c>
      <c r="E13" s="285">
        <f>+'GASTOS GENERALES'!K22</f>
        <v>12</v>
      </c>
      <c r="F13" s="285">
        <v>1</v>
      </c>
      <c r="G13" s="282" t="s">
        <v>571</v>
      </c>
      <c r="H13" s="282">
        <v>0</v>
      </c>
      <c r="I13" s="283">
        <f>+'GASTOS GENERALES'!P22</f>
        <v>35000390</v>
      </c>
      <c r="J13" s="283">
        <f>+'GASTOS GENERALES'!P22</f>
        <v>35000390</v>
      </c>
      <c r="K13" s="298">
        <v>0</v>
      </c>
      <c r="L13" s="299">
        <v>0</v>
      </c>
      <c r="M13" s="282" t="s">
        <v>617</v>
      </c>
      <c r="N13" s="278" t="s">
        <v>613</v>
      </c>
      <c r="O13" s="281" t="str">
        <f>+'GASTOS GENERALES'!G22</f>
        <v>Jefe Oficina  Asesora de planeación</v>
      </c>
      <c r="P13" s="281">
        <v>2630603</v>
      </c>
      <c r="Q13" s="281" t="str">
        <f>+'GASTOS GENERALES'!I22</f>
        <v xml:space="preserve"> olsanchez@idep.edu.co</v>
      </c>
      <c r="R13" s="6"/>
    </row>
    <row r="14" spans="1:18" ht="46.5" customHeight="1" x14ac:dyDescent="0.25">
      <c r="A14" s="365" t="str">
        <f>+'GASTOS GENERALES'!F24</f>
        <v>81112500;
81112200</v>
      </c>
      <c r="B14" s="365" t="str">
        <f>+'GASTOS GENERALES'!E24</f>
        <v>Adquisición de licencias Suite Ofimática y licencias para la administración de bases de datos.</v>
      </c>
      <c r="C14" s="366">
        <v>9</v>
      </c>
      <c r="D14" s="366">
        <v>10</v>
      </c>
      <c r="E14" s="366">
        <f>+'GASTOS GENERALES'!K24</f>
        <v>3</v>
      </c>
      <c r="F14" s="366">
        <v>1</v>
      </c>
      <c r="G14" s="365" t="s">
        <v>615</v>
      </c>
      <c r="H14" s="365">
        <v>0</v>
      </c>
      <c r="I14" s="367">
        <f>+'GASTOS GENERALES'!P24</f>
        <v>0</v>
      </c>
      <c r="J14" s="367">
        <f>+'GASTOS GENERALES'!P24</f>
        <v>0</v>
      </c>
      <c r="K14" s="368">
        <v>0</v>
      </c>
      <c r="L14" s="369">
        <v>0</v>
      </c>
      <c r="M14" s="365" t="s">
        <v>617</v>
      </c>
      <c r="N14" s="278" t="s">
        <v>613</v>
      </c>
      <c r="O14" s="281" t="str">
        <f>+'GASTOS GENERALES'!G24</f>
        <v>Jefe Oficina  Asesora de planeación</v>
      </c>
      <c r="P14" s="281">
        <v>2630603</v>
      </c>
      <c r="Q14" s="281" t="str">
        <f>+'GASTOS GENERALES'!I24</f>
        <v xml:space="preserve"> olsanchez@idep.edu.co</v>
      </c>
    </row>
    <row r="15" spans="1:18" ht="75" x14ac:dyDescent="0.25">
      <c r="A15" s="282" t="str">
        <f>+'GASTOS GENERALES'!F27</f>
        <v xml:space="preserve">15101500  25172504
</v>
      </c>
      <c r="B15" s="282" t="str">
        <f>+'GASTOS GENERALES'!E27</f>
        <v>Suministro de combustibles  (Gasolina y Gas vehicular), mediante el sistema electrónico de control (microchip) programable, llantas para los vehículos del Instituto para la Investigación Educativa y el Desarrollo Pedagógico – IDEP.</v>
      </c>
      <c r="C15" s="285">
        <v>8</v>
      </c>
      <c r="D15" s="285">
        <v>9</v>
      </c>
      <c r="E15" s="285">
        <f>+'GASTOS GENERALES'!K27</f>
        <v>3</v>
      </c>
      <c r="F15" s="285">
        <v>1</v>
      </c>
      <c r="G15" s="282" t="s">
        <v>569</v>
      </c>
      <c r="H15" s="282">
        <v>0</v>
      </c>
      <c r="I15" s="283">
        <f>+'GASTOS GENERALES'!P27</f>
        <v>6541588</v>
      </c>
      <c r="J15" s="283">
        <f>+'GASTOS GENERALES'!P27</f>
        <v>6541588</v>
      </c>
      <c r="K15" s="298">
        <v>0</v>
      </c>
      <c r="L15" s="299">
        <v>0</v>
      </c>
      <c r="M15" s="282" t="s">
        <v>617</v>
      </c>
      <c r="N15" s="278" t="s">
        <v>613</v>
      </c>
      <c r="O15" s="281" t="str">
        <f>+'GASTOS GENERALES'!G27</f>
        <v>Profesional Universitario 219-02 Servicios Generales</v>
      </c>
      <c r="P15" s="281">
        <v>2630603</v>
      </c>
      <c r="Q15" s="281" t="str">
        <f>+'GASTOS GENERALES'!I27</f>
        <v xml:space="preserve"> lcorrea@idep.edu.co</v>
      </c>
    </row>
    <row r="16" spans="1:18" ht="280.5" customHeight="1" x14ac:dyDescent="0.25">
      <c r="A16" s="282" t="str">
        <f>+'GASTOS GENERALES'!F30</f>
        <v xml:space="preserve">14111507  44121613 
44121701 44121704 
44121706 44121708
 44121804 44122119
 31201517 14111530
 42312009 44121630
 44121619 44111515 
44122027 14111514 
44121503 60101312 </v>
      </c>
      <c r="B16" s="282" t="str">
        <f>+'GASTOS GENERALES'!E30</f>
        <v>Compraventa de papelería, útiles de escritorio y artículos de oficina para la Investigación Educativa y el Desarrollo Pedagógico - IDEP</v>
      </c>
      <c r="C16" s="285">
        <v>7</v>
      </c>
      <c r="D16" s="285">
        <v>8</v>
      </c>
      <c r="E16" s="285">
        <f>+'GASTOS GENERALES'!K30</f>
        <v>2</v>
      </c>
      <c r="F16" s="285">
        <v>1</v>
      </c>
      <c r="G16" s="282" t="s">
        <v>569</v>
      </c>
      <c r="H16" s="282">
        <v>0</v>
      </c>
      <c r="I16" s="283">
        <f>+'GASTOS GENERALES'!P30</f>
        <v>4881212</v>
      </c>
      <c r="J16" s="283">
        <f>+'GASTOS GENERALES'!P30</f>
        <v>4881212</v>
      </c>
      <c r="K16" s="298">
        <v>0</v>
      </c>
      <c r="L16" s="299">
        <v>0</v>
      </c>
      <c r="M16" s="282" t="s">
        <v>617</v>
      </c>
      <c r="N16" s="278" t="s">
        <v>613</v>
      </c>
      <c r="O16" s="281" t="str">
        <f>+'GASTOS GENERALES'!G30</f>
        <v>Profesional Universitario 219-02 Servicios Generales</v>
      </c>
      <c r="P16" s="281">
        <v>2630603</v>
      </c>
      <c r="Q16" s="281" t="str">
        <f>+'GASTOS GENERALES'!I30</f>
        <v xml:space="preserve">  lcorrea@idep.edu.co</v>
      </c>
    </row>
    <row r="17" spans="1:18" ht="105" x14ac:dyDescent="0.25">
      <c r="A17" s="289">
        <f>+'GASTOS GENERALES'!F35</f>
        <v>80131502</v>
      </c>
      <c r="B17" s="282" t="str">
        <f>+'GASTOS GENERALES'!E35</f>
        <v>Arrendar el inmueble distinguido como oficina 402 A ubicado en la Avenida Calle 26 No. 69 D-91 Torre Peatonal “Centro Empresarial Arrecife (Etapa II) piso 4to. Propiedad Horizontal”, de la ciudad de Bogotá,  incluyendo los parqueaderos Nros. 265 y 266 del sótano No. 3, con el fin de que allí funcione  la sede  del IDEP.</v>
      </c>
      <c r="C17" s="285">
        <v>2</v>
      </c>
      <c r="D17" s="285">
        <v>2</v>
      </c>
      <c r="E17" s="285">
        <f>+'GASTOS GENERALES'!K35</f>
        <v>11</v>
      </c>
      <c r="F17" s="285">
        <v>1</v>
      </c>
      <c r="G17" s="282" t="s">
        <v>570</v>
      </c>
      <c r="H17" s="282">
        <v>0</v>
      </c>
      <c r="I17" s="283">
        <f>+'GASTOS GENERALES'!P35</f>
        <v>58195071</v>
      </c>
      <c r="J17" s="283">
        <f>+'GASTOS GENERALES'!P35</f>
        <v>58195071</v>
      </c>
      <c r="K17" s="298">
        <v>0</v>
      </c>
      <c r="L17" s="299">
        <v>0</v>
      </c>
      <c r="M17" s="282" t="s">
        <v>617</v>
      </c>
      <c r="N17" s="278" t="s">
        <v>613</v>
      </c>
      <c r="O17" s="281" t="str">
        <f>+'GASTOS GENERALES'!G35</f>
        <v>Profesional Universitario 219-02 Servicios Generales</v>
      </c>
      <c r="P17" s="281">
        <v>2630603</v>
      </c>
      <c r="Q17" s="281" t="str">
        <f>+'GASTOS GENERALES'!I35</f>
        <v>lcorrea@idep.edu.co</v>
      </c>
    </row>
    <row r="18" spans="1:18" ht="109.5" customHeight="1" x14ac:dyDescent="0.25">
      <c r="A18" s="289">
        <f>+'GASTOS GENERALES'!F36</f>
        <v>80131502</v>
      </c>
      <c r="B18" s="282" t="str">
        <f>+'GASTOS GENERALES'!E36</f>
        <v>Arrendar el inmueble distinguido como oficina 402 B ubicado en la Avenida Calle 26 No. 69 D-91 Torre Peatonal “Centro Empresarial Arrecife (Etapa II) piso 4to. Propiedad Horizontal”, de la ciudad de Bogotá,  incluyendo los parqueaderos Nros. 267 y 268 del sótano No. 3, con el fin de que allí funcione  la sede  del IDEP.</v>
      </c>
      <c r="C18" s="285">
        <v>2</v>
      </c>
      <c r="D18" s="285">
        <v>2</v>
      </c>
      <c r="E18" s="285">
        <f>+'GASTOS GENERALES'!K36</f>
        <v>11</v>
      </c>
      <c r="F18" s="285">
        <v>1</v>
      </c>
      <c r="G18" s="282" t="s">
        <v>570</v>
      </c>
      <c r="H18" s="282">
        <v>0</v>
      </c>
      <c r="I18" s="283">
        <f>+'GASTOS GENERALES'!P36</f>
        <v>83061088</v>
      </c>
      <c r="J18" s="283">
        <f>+'GASTOS GENERALES'!P36</f>
        <v>83061088</v>
      </c>
      <c r="K18" s="298">
        <v>0</v>
      </c>
      <c r="L18" s="299">
        <v>0</v>
      </c>
      <c r="M18" s="282" t="s">
        <v>617</v>
      </c>
      <c r="N18" s="278" t="s">
        <v>613</v>
      </c>
      <c r="O18" s="281" t="str">
        <f>+'GASTOS GENERALES'!G36</f>
        <v>Profesional Universitario 219-02 Servicios Generales</v>
      </c>
      <c r="P18" s="281">
        <v>2630603</v>
      </c>
      <c r="Q18" s="281" t="str">
        <f>+'GASTOS GENERALES'!I36</f>
        <v xml:space="preserve">  lcorrea@idep.edu.co</v>
      </c>
    </row>
    <row r="19" spans="1:18" ht="69" customHeight="1" x14ac:dyDescent="0.25">
      <c r="A19" s="289">
        <f>+'GASTOS GENERALES'!F37</f>
        <v>80131502</v>
      </c>
      <c r="B19" s="282" t="str">
        <f>+'GASTOS GENERALES'!E37</f>
        <v>Arrendar el inmueble distinguido como oficina 805 ubicado en la Avenida Calle 26 No. 69 D-91 Torre Peatonal “Centro Empresarial Arrecife (Etapa II) piso 8vo. Propiedad Horizontal”, de la ciudad de Bogotá,  incluyendo los parqueaderos Nros. 76, 77 y 115 del sótano No. 2, con el fin de que allí funcione  la sede  del IDEP.</v>
      </c>
      <c r="C19" s="285">
        <v>2</v>
      </c>
      <c r="D19" s="285">
        <v>2</v>
      </c>
      <c r="E19" s="300">
        <f>+'GASTOS GENERALES'!K37</f>
        <v>11</v>
      </c>
      <c r="F19" s="285">
        <v>1</v>
      </c>
      <c r="G19" s="282" t="s">
        <v>570</v>
      </c>
      <c r="H19" s="282">
        <v>0</v>
      </c>
      <c r="I19" s="283">
        <f>+'GASTOS GENERALES'!P37</f>
        <v>125014362</v>
      </c>
      <c r="J19" s="283">
        <f>+'GASTOS GENERALES'!P37</f>
        <v>125014362</v>
      </c>
      <c r="K19" s="298">
        <v>0</v>
      </c>
      <c r="L19" s="299">
        <v>0</v>
      </c>
      <c r="M19" s="282" t="s">
        <v>617</v>
      </c>
      <c r="N19" s="278" t="s">
        <v>613</v>
      </c>
      <c r="O19" s="281" t="str">
        <f>+'GASTOS GENERALES'!G37</f>
        <v>Profesional Universitario 219-02 Servicios Generales</v>
      </c>
      <c r="P19" s="281">
        <v>2630603</v>
      </c>
      <c r="Q19" s="281" t="str">
        <f>+'GASTOS GENERALES'!I37</f>
        <v xml:space="preserve"> lcorrea@idep.edu.co</v>
      </c>
    </row>
    <row r="20" spans="1:18" ht="93.75" customHeight="1" x14ac:dyDescent="0.25">
      <c r="A20" s="289">
        <f>+'GASTOS GENERALES'!F38</f>
        <v>80131502</v>
      </c>
      <c r="B20" s="282" t="str">
        <f>+'GASTOS GENERALES'!E38</f>
        <v>Arrendar el inmueble distinguido como oficina 806 ubicado en la Avenida Calle 26 No. 69 D-91 Torre Peatonal “Centro Empresarial Arrecife (Etapa II) piso 8vo Propiedad Horizontal”, de la ciudad de Bogotá,  incluyendo los parqueaderos Nros. 151 y 152 del sótano No. 2, con el fin de que allí funcione  la sede  del IDEP.</v>
      </c>
      <c r="C20" s="285">
        <v>2</v>
      </c>
      <c r="D20" s="285">
        <v>2</v>
      </c>
      <c r="E20" s="285">
        <f>+'GASTOS GENERALES'!K38</f>
        <v>11</v>
      </c>
      <c r="F20" s="285">
        <v>1</v>
      </c>
      <c r="G20" s="282" t="s">
        <v>570</v>
      </c>
      <c r="H20" s="282">
        <v>0</v>
      </c>
      <c r="I20" s="283">
        <f>+'GASTOS GENERALES'!P38</f>
        <v>82400769</v>
      </c>
      <c r="J20" s="283">
        <f>+'GASTOS GENERALES'!P38</f>
        <v>82400769</v>
      </c>
      <c r="K20" s="298">
        <v>0</v>
      </c>
      <c r="L20" s="299">
        <v>0</v>
      </c>
      <c r="M20" s="282" t="s">
        <v>617</v>
      </c>
      <c r="N20" s="278" t="s">
        <v>613</v>
      </c>
      <c r="O20" s="281" t="str">
        <f>+'GASTOS GENERALES'!G38</f>
        <v>Profesional Universitario 219-02 Servicios Generales</v>
      </c>
      <c r="P20" s="281">
        <v>2630603</v>
      </c>
      <c r="Q20" s="281" t="str">
        <f>+'GASTOS GENERALES'!I38</f>
        <v xml:space="preserve">  lcorrea@idep.edu.co</v>
      </c>
    </row>
    <row r="21" spans="1:18" ht="42" customHeight="1" x14ac:dyDescent="0.25">
      <c r="A21" s="289">
        <f>+'GASTOS GENERALES'!F41</f>
        <v>81112101</v>
      </c>
      <c r="B21" s="282" t="str">
        <f>+'GASTOS GENERALES'!E41</f>
        <v>Prestación del servicio de un canal de Internet dedicado con un ancho de banda de 20 Mbps.</v>
      </c>
      <c r="C21" s="285">
        <v>1</v>
      </c>
      <c r="D21" s="285">
        <v>1</v>
      </c>
      <c r="E21" s="285">
        <f>+'GASTOS GENERALES'!K41</f>
        <v>10</v>
      </c>
      <c r="F21" s="285">
        <v>1</v>
      </c>
      <c r="G21" s="282" t="s">
        <v>570</v>
      </c>
      <c r="H21" s="282">
        <v>0</v>
      </c>
      <c r="I21" s="283">
        <f>+'GASTOS GENERALES'!P41</f>
        <v>23192040</v>
      </c>
      <c r="J21" s="283">
        <f>+'GASTOS GENERALES'!P41</f>
        <v>23192040</v>
      </c>
      <c r="K21" s="298">
        <v>0</v>
      </c>
      <c r="L21" s="299">
        <v>0</v>
      </c>
      <c r="M21" s="282" t="s">
        <v>617</v>
      </c>
      <c r="N21" s="278" t="s">
        <v>613</v>
      </c>
      <c r="O21" s="281" t="str">
        <f>+'GASTOS GENERALES'!G41</f>
        <v>Jefe Oficina  Asesora de planeación</v>
      </c>
      <c r="P21" s="281">
        <v>2630603</v>
      </c>
      <c r="Q21" s="287" t="str">
        <f>+'GASTOS GENERALES'!I41</f>
        <v xml:space="preserve"> osanchez@idep.edu.co</v>
      </c>
    </row>
    <row r="22" spans="1:18" ht="52.5" customHeight="1" x14ac:dyDescent="0.25">
      <c r="A22" s="289">
        <f>+'GASTOS GENERALES'!F48</f>
        <v>81112101</v>
      </c>
      <c r="B22" s="282" t="str">
        <f>+'GASTOS GENERALES'!E48</f>
        <v>Compra de Radios de Comunicación para la Brigada de Emergencias del IDEP</v>
      </c>
      <c r="C22" s="285">
        <v>3</v>
      </c>
      <c r="D22" s="285">
        <v>4</v>
      </c>
      <c r="E22" s="285">
        <f>+'GASTOS GENERALES'!K48</f>
        <v>3</v>
      </c>
      <c r="F22" s="285">
        <v>1</v>
      </c>
      <c r="G22" s="282" t="s">
        <v>569</v>
      </c>
      <c r="H22" s="282">
        <v>0</v>
      </c>
      <c r="I22" s="283">
        <f>+'GASTOS GENERALES'!P48</f>
        <v>3272500</v>
      </c>
      <c r="J22" s="283">
        <f>+'GASTOS GENERALES'!P48</f>
        <v>3272500</v>
      </c>
      <c r="K22" s="298">
        <v>0</v>
      </c>
      <c r="L22" s="299">
        <v>0</v>
      </c>
      <c r="M22" s="282" t="s">
        <v>617</v>
      </c>
      <c r="N22" s="278" t="s">
        <v>613</v>
      </c>
      <c r="O22" s="281" t="str">
        <f>+'GASTOS GENERALES'!G48</f>
        <v>Profesional especializado Presupuesto</v>
      </c>
      <c r="P22" s="281">
        <v>2630603</v>
      </c>
      <c r="Q22" s="281" t="str">
        <f>+'GASTOS GENERALES'!I48</f>
        <v xml:space="preserve"> pleguizmon@idep.edu.co</v>
      </c>
    </row>
    <row r="23" spans="1:18" ht="44.25" customHeight="1" x14ac:dyDescent="0.25">
      <c r="A23" s="289" t="str">
        <f>+'GASTOS GENERALES'!F49</f>
        <v>78102203.</v>
      </c>
      <c r="B23" s="282" t="str">
        <f>+'GASTOS GENERALES'!E49</f>
        <v>Prestación del servicio de mensajería especializada para el Instituto para la Investigación Educativa y Desarrollo Pedagógico IDEP</v>
      </c>
      <c r="C23" s="285">
        <v>9</v>
      </c>
      <c r="D23" s="285">
        <v>10</v>
      </c>
      <c r="E23" s="285">
        <f>+'GASTOS GENERALES'!K49</f>
        <v>12</v>
      </c>
      <c r="F23" s="285">
        <v>1</v>
      </c>
      <c r="G23" s="282" t="s">
        <v>569</v>
      </c>
      <c r="H23" s="282">
        <v>0</v>
      </c>
      <c r="I23" s="283">
        <f>+'GASTOS GENERALES'!P49</f>
        <v>14625000</v>
      </c>
      <c r="J23" s="283">
        <f>+'GASTOS GENERALES'!P49</f>
        <v>14625000</v>
      </c>
      <c r="K23" s="298">
        <v>0</v>
      </c>
      <c r="L23" s="299">
        <v>0</v>
      </c>
      <c r="M23" s="282" t="s">
        <v>617</v>
      </c>
      <c r="N23" s="278" t="s">
        <v>613</v>
      </c>
      <c r="O23" s="287" t="str">
        <f>+'GASTOS GENERALES'!G49</f>
        <v>Profesionalo Especializado 222-03</v>
      </c>
      <c r="P23" s="281">
        <v>2630603</v>
      </c>
      <c r="Q23" s="281" t="str">
        <f>+'GASTOS GENERALES'!I49</f>
        <v>obonilla@idep.edu.co</v>
      </c>
    </row>
    <row r="24" spans="1:18" ht="105" x14ac:dyDescent="0.25">
      <c r="A24" s="289">
        <f>+'GASTOS GENERALES'!F54</f>
        <v>80161801</v>
      </c>
      <c r="B24" s="282" t="str">
        <f>+'GASTOS GENERALES'!E54</f>
        <v>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v>
      </c>
      <c r="C24" s="285">
        <v>6</v>
      </c>
      <c r="D24" s="285">
        <v>7</v>
      </c>
      <c r="E24" s="285">
        <f>+'GASTOS GENERALES'!K54</f>
        <v>12</v>
      </c>
      <c r="F24" s="285">
        <v>1</v>
      </c>
      <c r="G24" s="282" t="s">
        <v>569</v>
      </c>
      <c r="H24" s="282">
        <v>0</v>
      </c>
      <c r="I24" s="283">
        <f>+'GASTOS GENERALES'!P54</f>
        <v>7020000</v>
      </c>
      <c r="J24" s="283">
        <f>+'GASTOS GENERALES'!P54</f>
        <v>7020000</v>
      </c>
      <c r="K24" s="298">
        <v>0</v>
      </c>
      <c r="L24" s="299">
        <v>0</v>
      </c>
      <c r="M24" s="282" t="s">
        <v>617</v>
      </c>
      <c r="N24" s="278" t="s">
        <v>613</v>
      </c>
      <c r="O24" s="287" t="str">
        <f>+'GASTOS GENERALES'!G54</f>
        <v>Profesional Universitario 219-02 Servicios Generales</v>
      </c>
      <c r="P24" s="281">
        <v>2630603</v>
      </c>
      <c r="Q24" s="286" t="str">
        <f>+'GASTOS GENERALES'!I54</f>
        <v xml:space="preserve">  lcorrea@idep.edu.co</v>
      </c>
    </row>
    <row r="25" spans="1:18" ht="60" x14ac:dyDescent="0.25">
      <c r="A25" s="282" t="str">
        <f>+'GASTOS GENERALES'!F60</f>
        <v>76111501
 95121503</v>
      </c>
      <c r="B25" s="282" t="str">
        <f>+'GASTOS GENERALES'!E60</f>
        <v>Prestación de los servicios de aseo y cafetería, con suministro de insumos, en las instalaciones del Instituto para la Investigación Educativa y el Desarrollo Pedagógico - IDEP.</v>
      </c>
      <c r="C25" s="285">
        <v>5</v>
      </c>
      <c r="D25" s="285">
        <v>5</v>
      </c>
      <c r="E25" s="285">
        <f>+'GASTOS GENERALES'!K60</f>
        <v>12</v>
      </c>
      <c r="F25" s="285">
        <v>1</v>
      </c>
      <c r="G25" s="282" t="s">
        <v>614</v>
      </c>
      <c r="H25" s="282">
        <v>0</v>
      </c>
      <c r="I25" s="283">
        <f>+'GASTOS GENERALES'!P60</f>
        <v>38148843</v>
      </c>
      <c r="J25" s="283">
        <f>+'GASTOS GENERALES'!P60</f>
        <v>38148843</v>
      </c>
      <c r="K25" s="298">
        <v>0</v>
      </c>
      <c r="L25" s="299">
        <v>0</v>
      </c>
      <c r="M25" s="282" t="s">
        <v>617</v>
      </c>
      <c r="N25" s="278" t="s">
        <v>613</v>
      </c>
      <c r="O25" s="281" t="str">
        <f>+'GASTOS GENERALES'!G60</f>
        <v>Profesional Universitario 219-02 Servicios Generales</v>
      </c>
      <c r="P25" s="281">
        <v>2630603</v>
      </c>
      <c r="Q25" s="281" t="str">
        <f>+'GASTOS GENERALES'!I60</f>
        <v xml:space="preserve">  lcorrea@idep.edu.co</v>
      </c>
    </row>
    <row r="26" spans="1:18" ht="60" x14ac:dyDescent="0.25">
      <c r="A26" s="289">
        <f>+'GASTOS GENERALES'!F61</f>
        <v>72154066</v>
      </c>
      <c r="B26" s="282" t="str">
        <f>+'GASTOS GENERALES'!E61</f>
        <v>Prestación de servicio para realizar el mantenimiento preventivo y correctivo de archivadores rodantes y de madera que actualmente tiene el IDEP en servicio.</v>
      </c>
      <c r="C26" s="285">
        <v>10</v>
      </c>
      <c r="D26" s="285">
        <v>10</v>
      </c>
      <c r="E26" s="285">
        <f>+'GASTOS GENERALES'!K61</f>
        <v>2</v>
      </c>
      <c r="F26" s="285">
        <v>1</v>
      </c>
      <c r="G26" s="282" t="s">
        <v>569</v>
      </c>
      <c r="H26" s="282">
        <v>0</v>
      </c>
      <c r="I26" s="283">
        <f>+'GASTOS GENERALES'!P61</f>
        <v>0</v>
      </c>
      <c r="J26" s="283">
        <f>+'GASTOS GENERALES'!P61</f>
        <v>0</v>
      </c>
      <c r="K26" s="298">
        <v>0</v>
      </c>
      <c r="L26" s="299">
        <v>0</v>
      </c>
      <c r="M26" s="282" t="s">
        <v>617</v>
      </c>
      <c r="N26" s="289" t="s">
        <v>613</v>
      </c>
      <c r="O26" s="282" t="str">
        <f>+'GASTOS GENERALES'!G61</f>
        <v>Profesional Universitario 219-02 Servicios Generales</v>
      </c>
      <c r="P26" s="282">
        <v>2630603</v>
      </c>
      <c r="Q26" s="282" t="str">
        <f>+'GASTOS GENERALES'!I61</f>
        <v xml:space="preserve">  lcorrea@idep.edu.co</v>
      </c>
      <c r="R26" s="312"/>
    </row>
    <row r="27" spans="1:18" ht="48" customHeight="1" x14ac:dyDescent="0.25">
      <c r="A27" s="289">
        <f>+'GASTOS GENERALES'!F62</f>
        <v>78181500</v>
      </c>
      <c r="B27" s="282" t="str">
        <f>+'GASTOS GENERALES'!E62</f>
        <v xml:space="preserve">Prestación de servicios de mantenimiento preventivo y correctivo del parque automotor del IDEP con suministro de respuestos  </v>
      </c>
      <c r="C27" s="285">
        <v>8</v>
      </c>
      <c r="D27" s="285">
        <v>9</v>
      </c>
      <c r="E27" s="285">
        <f>+'GASTOS GENERALES'!K62</f>
        <v>6</v>
      </c>
      <c r="F27" s="285">
        <v>1</v>
      </c>
      <c r="G27" s="282" t="s">
        <v>569</v>
      </c>
      <c r="H27" s="282">
        <v>0</v>
      </c>
      <c r="I27" s="283">
        <f>+'GASTOS GENERALES'!P62</f>
        <v>3839425</v>
      </c>
      <c r="J27" s="283">
        <f>+'GASTOS GENERALES'!P62</f>
        <v>3839425</v>
      </c>
      <c r="K27" s="298">
        <v>0</v>
      </c>
      <c r="L27" s="299">
        <v>0</v>
      </c>
      <c r="M27" s="282" t="s">
        <v>617</v>
      </c>
      <c r="N27" s="278" t="s">
        <v>613</v>
      </c>
      <c r="O27" s="281" t="str">
        <f>+'GASTOS GENERALES'!G62</f>
        <v>Profesional Universitario 219-02 Servicios Generales</v>
      </c>
      <c r="P27" s="281">
        <v>2630603</v>
      </c>
      <c r="Q27" s="281" t="str">
        <f>+'GASTOS GENERALES'!I62</f>
        <v xml:space="preserve">  lcorrea@idep.edu.co</v>
      </c>
    </row>
    <row r="28" spans="1:18" ht="45" x14ac:dyDescent="0.25">
      <c r="A28" s="289">
        <f>+'GASTOS GENERALES'!F67</f>
        <v>84131501</v>
      </c>
      <c r="B28" s="282" t="str">
        <f>+'GASTOS GENERALES'!E67</f>
        <v>Contratar la prestación de servicios de intermediación de seguros, asesoría integral en el manejo de programa de seguros que el instituto requiera</v>
      </c>
      <c r="C28" s="285">
        <v>6</v>
      </c>
      <c r="D28" s="285">
        <v>8</v>
      </c>
      <c r="E28" s="285">
        <f>+'GASTOS GENERALES'!K67</f>
        <v>12</v>
      </c>
      <c r="F28" s="285">
        <v>1</v>
      </c>
      <c r="G28" s="298" t="s">
        <v>573</v>
      </c>
      <c r="H28" s="298">
        <v>0</v>
      </c>
      <c r="I28" s="283">
        <f>+'GASTOS GENERALES'!P67</f>
        <v>0</v>
      </c>
      <c r="J28" s="283">
        <f>+'GASTOS GENERALES'!P67</f>
        <v>0</v>
      </c>
      <c r="K28" s="298">
        <v>0</v>
      </c>
      <c r="L28" s="299">
        <v>0</v>
      </c>
      <c r="M28" s="282" t="s">
        <v>617</v>
      </c>
      <c r="N28" s="278" t="s">
        <v>613</v>
      </c>
      <c r="O28" s="281" t="str">
        <f>+'GASTOS GENERALES'!G67</f>
        <v>Subdirector Adminsitrativo Financiero</v>
      </c>
      <c r="P28" s="281">
        <v>2630603</v>
      </c>
      <c r="Q28" s="281" t="str">
        <f>+'GASTOS GENERALES'!I67</f>
        <v>cplazas@idep.edu.co</v>
      </c>
    </row>
    <row r="29" spans="1:18" ht="158.25" customHeight="1" x14ac:dyDescent="0.25">
      <c r="A29" s="289">
        <f>+'GASTOS GENERALES'!F68</f>
        <v>84131501</v>
      </c>
      <c r="B29" s="282" t="str">
        <f>+'GASTOS GENERALES'!E68</f>
        <v>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v>
      </c>
      <c r="C29" s="285">
        <v>8</v>
      </c>
      <c r="D29" s="285">
        <v>10</v>
      </c>
      <c r="E29" s="285">
        <f>+'GASTOS GENERALES'!K68</f>
        <v>12</v>
      </c>
      <c r="F29" s="285">
        <v>1</v>
      </c>
      <c r="G29" s="282" t="s">
        <v>575</v>
      </c>
      <c r="H29" s="282">
        <v>0</v>
      </c>
      <c r="I29" s="283">
        <f>+'GASTOS GENERALES'!P68</f>
        <v>59969759</v>
      </c>
      <c r="J29" s="283">
        <f>+'GASTOS GENERALES'!P68</f>
        <v>59969759</v>
      </c>
      <c r="K29" s="298">
        <v>0</v>
      </c>
      <c r="L29" s="299">
        <v>0</v>
      </c>
      <c r="M29" s="282" t="s">
        <v>617</v>
      </c>
      <c r="N29" s="278" t="s">
        <v>613</v>
      </c>
      <c r="O29" s="281" t="str">
        <f>+'GASTOS GENERALES'!G68</f>
        <v>Subdirector Administrativo Financiero</v>
      </c>
      <c r="P29" s="281">
        <v>2630603</v>
      </c>
      <c r="Q29" s="281" t="str">
        <f>+'GASTOS GENERALES'!I68</f>
        <v>cplazas@idep.edu.co</v>
      </c>
    </row>
    <row r="30" spans="1:18" ht="45" x14ac:dyDescent="0.25">
      <c r="A30" s="289">
        <f>+'GASTOS GENERALES'!F78</f>
        <v>86101705</v>
      </c>
      <c r="B30" s="282" t="str">
        <f>+'GASTOS GENERALES'!E78</f>
        <v>Prestación de servicios profesionales  para  realizar  la capacitación a los servidores y servidoras del  IDEP</v>
      </c>
      <c r="C30" s="285">
        <v>7</v>
      </c>
      <c r="D30" s="285">
        <v>7</v>
      </c>
      <c r="E30" s="300">
        <f>+'GASTOS GENERALES'!K78</f>
        <v>2</v>
      </c>
      <c r="F30" s="285">
        <v>1</v>
      </c>
      <c r="G30" s="282" t="s">
        <v>570</v>
      </c>
      <c r="H30" s="282">
        <v>0</v>
      </c>
      <c r="I30" s="283">
        <f>+'GASTOS GENERALES'!P78</f>
        <v>12950000</v>
      </c>
      <c r="J30" s="283">
        <f>+'GASTOS GENERALES'!P78</f>
        <v>12950000</v>
      </c>
      <c r="K30" s="298">
        <v>0</v>
      </c>
      <c r="L30" s="299">
        <v>0</v>
      </c>
      <c r="M30" s="282" t="s">
        <v>617</v>
      </c>
      <c r="N30" s="278" t="s">
        <v>613</v>
      </c>
      <c r="O30" s="287" t="str">
        <f>+'GASTOS GENERALES'!G78</f>
        <v>Profesional Especializado 222-03</v>
      </c>
      <c r="P30" s="281">
        <v>2630603</v>
      </c>
      <c r="Q30" s="281" t="str">
        <f>+'GASTOS GENERALES'!I78</f>
        <v xml:space="preserve"> nbeltran@idep.edu.co</v>
      </c>
    </row>
    <row r="31" spans="1:18" ht="75" x14ac:dyDescent="0.25">
      <c r="A31" s="289">
        <f>+'GASTOS GENERALES'!F80</f>
        <v>93141506</v>
      </c>
      <c r="B31" s="282" t="str">
        <f>+'GASTOS GENERALES'!E80</f>
        <v>Adquisición de bonos de bienestar para los funcionarios del IDEP para ser utilizados en víveres y/o alimentos</v>
      </c>
      <c r="C31" s="285">
        <v>9</v>
      </c>
      <c r="D31" s="285">
        <v>10</v>
      </c>
      <c r="E31" s="285">
        <f>+'GASTOS GENERALES'!K80</f>
        <v>1</v>
      </c>
      <c r="F31" s="285">
        <v>1</v>
      </c>
      <c r="G31" s="282" t="s">
        <v>569</v>
      </c>
      <c r="H31" s="282">
        <v>0</v>
      </c>
      <c r="I31" s="283">
        <f>+'GASTOS GENERALES'!P80</f>
        <v>0</v>
      </c>
      <c r="J31" s="283">
        <f>+'GASTOS GENERALES'!P80</f>
        <v>0</v>
      </c>
      <c r="K31" s="298">
        <v>0</v>
      </c>
      <c r="L31" s="299">
        <v>0</v>
      </c>
      <c r="M31" s="282" t="s">
        <v>617</v>
      </c>
      <c r="N31" s="278" t="s">
        <v>613</v>
      </c>
      <c r="O31" s="287" t="str">
        <f>+'GASTOS GENERALES'!G80</f>
        <v>Profesional Especializado 222-03 
Área de Talento Humano</v>
      </c>
      <c r="P31" s="281">
        <v>2630603</v>
      </c>
      <c r="Q31" s="281" t="str">
        <f>+'GASTOS GENERALES'!I80</f>
        <v xml:space="preserve"> nbeltran@idep.edu.co</v>
      </c>
    </row>
    <row r="32" spans="1:18" ht="75.75" customHeight="1" x14ac:dyDescent="0.25">
      <c r="A32" s="289">
        <f>+'GASTOS GENERALES'!F81</f>
        <v>93141506</v>
      </c>
      <c r="B32" s="282" t="str">
        <f>+'GASTOS GENERALES'!E81</f>
        <v>Adquisición de bonos de navidad para los hijos de los funcionarios del IDEP en edades comprendidas entre los cero (0) a trece (13) años para ser utilizados en juguetería y/o ropa infantil</v>
      </c>
      <c r="C32" s="285">
        <v>9</v>
      </c>
      <c r="D32" s="285">
        <v>10</v>
      </c>
      <c r="E32" s="285">
        <f>+'GASTOS GENERALES'!K81</f>
        <v>1</v>
      </c>
      <c r="F32" s="285">
        <v>1</v>
      </c>
      <c r="G32" s="282" t="s">
        <v>569</v>
      </c>
      <c r="H32" s="282">
        <v>0</v>
      </c>
      <c r="I32" s="283">
        <f>+'GASTOS GENERALES'!P81</f>
        <v>0</v>
      </c>
      <c r="J32" s="283">
        <f>+'GASTOS GENERALES'!P81</f>
        <v>0</v>
      </c>
      <c r="K32" s="298">
        <v>0</v>
      </c>
      <c r="L32" s="299">
        <v>0</v>
      </c>
      <c r="M32" s="282" t="s">
        <v>617</v>
      </c>
      <c r="N32" s="278" t="s">
        <v>613</v>
      </c>
      <c r="O32" s="287" t="str">
        <f>+'GASTOS GENERALES'!G81</f>
        <v>Profesional Especializado 222-03 
Área de Talento Humano</v>
      </c>
      <c r="P32" s="281">
        <v>2630603</v>
      </c>
      <c r="Q32" s="281" t="str">
        <f>+'GASTOS GENERALES'!I81</f>
        <v>Profesional Especializado 222-03 
Área de Talento Humano</v>
      </c>
    </row>
    <row r="33" spans="1:19" ht="90" x14ac:dyDescent="0.25">
      <c r="A33" s="289">
        <f>+'GASTOS GENERALES'!F84</f>
        <v>93141506</v>
      </c>
      <c r="B33" s="282" t="str">
        <f>+'GASTOS GENERALES'!E84</f>
        <v>Servicio de apoyo logístico para la realización de actividades recreativas para los hijos de los funcionarios las cuales tienen como fin contribuir al fortalecimiento de los procesos motivacionales, actitudinales y comportamentales de los servidores públicos.</v>
      </c>
      <c r="C33" s="285">
        <v>6</v>
      </c>
      <c r="D33" s="285">
        <v>6</v>
      </c>
      <c r="E33" s="285">
        <f>+'GASTOS GENERALES'!K84</f>
        <v>1</v>
      </c>
      <c r="F33" s="285">
        <v>1</v>
      </c>
      <c r="G33" s="282" t="s">
        <v>570</v>
      </c>
      <c r="H33" s="282">
        <v>0</v>
      </c>
      <c r="I33" s="283">
        <f>+'GASTOS GENERALES'!P84</f>
        <v>7500000</v>
      </c>
      <c r="J33" s="283">
        <f>+'GASTOS GENERALES'!P84</f>
        <v>7500000</v>
      </c>
      <c r="K33" s="298">
        <v>0</v>
      </c>
      <c r="L33" s="299">
        <v>0</v>
      </c>
      <c r="M33" s="282" t="s">
        <v>617</v>
      </c>
      <c r="N33" s="278" t="s">
        <v>613</v>
      </c>
      <c r="O33" s="287" t="str">
        <f>+'GASTOS GENERALES'!G84</f>
        <v>Profesional Especializado 222-03 
Área de Talento Humano</v>
      </c>
      <c r="P33" s="281">
        <v>2630603</v>
      </c>
      <c r="Q33" s="281" t="str">
        <f>+'GASTOS GENERALES'!I84</f>
        <v xml:space="preserve"> nbeltran@idep.edu.co</v>
      </c>
    </row>
    <row r="34" spans="1:19" ht="75" x14ac:dyDescent="0.25">
      <c r="A34" s="294">
        <f>+'GASTOS GENERALES'!F86</f>
        <v>93141808</v>
      </c>
      <c r="B34" s="308" t="str">
        <f>+'GASTOS GENERALES'!E86</f>
        <v>Prestación de servicios para realizar los exámenes médico ocupacionales para los servidores del IDEP.</v>
      </c>
      <c r="C34" s="310">
        <v>5</v>
      </c>
      <c r="D34" s="310">
        <v>6</v>
      </c>
      <c r="E34" s="310">
        <f>+'GASTOS GENERALES'!K86</f>
        <v>2</v>
      </c>
      <c r="F34" s="310">
        <v>1</v>
      </c>
      <c r="G34" s="284" t="s">
        <v>569</v>
      </c>
      <c r="H34" s="284">
        <v>0</v>
      </c>
      <c r="I34" s="311">
        <f>+'GASTOS GENERALES'!P86</f>
        <v>3219000</v>
      </c>
      <c r="J34" s="311">
        <f>+'GASTOS GENERALES'!P86</f>
        <v>3219000</v>
      </c>
      <c r="K34" s="308">
        <v>0</v>
      </c>
      <c r="L34" s="309">
        <v>0</v>
      </c>
      <c r="M34" s="284" t="s">
        <v>617</v>
      </c>
      <c r="N34" s="294" t="s">
        <v>613</v>
      </c>
      <c r="O34" s="364" t="str">
        <f>+'GASTOS GENERALES'!G86</f>
        <v>Profesional Especializado 222-03 
Área de Talento Humano</v>
      </c>
      <c r="P34" s="284">
        <v>2630603</v>
      </c>
      <c r="Q34" s="284" t="str">
        <f>+'GASTOS GENERALES'!I86</f>
        <v>nbeltran@idep.edu.co</v>
      </c>
      <c r="S34" s="6">
        <f>683683588-680464588</f>
        <v>3219000</v>
      </c>
    </row>
    <row r="35" spans="1:19" ht="60" x14ac:dyDescent="0.25">
      <c r="A35" s="289">
        <f>+'Plan de Adquisiciones '!J16</f>
        <v>80111621</v>
      </c>
      <c r="B35" s="282" t="str">
        <f>+'Plan de Adquisiciones '!I16</f>
        <v>Prestación de servicios profesionales para  realizar la  consolidación de referentes conceptuales del Sistema de Seguimiento a la política educativa distrital en los contextos escolares, Fase 2</v>
      </c>
      <c r="C35" s="301">
        <v>2</v>
      </c>
      <c r="D35" s="301">
        <v>2</v>
      </c>
      <c r="E35" s="301">
        <f>+'Plan de Adquisiciones '!O16</f>
        <v>9</v>
      </c>
      <c r="F35" s="301">
        <v>1</v>
      </c>
      <c r="G35" s="282" t="s">
        <v>570</v>
      </c>
      <c r="H35" s="289"/>
      <c r="I35" s="302">
        <f>+'Plan de Adquisiciones '!T16</f>
        <v>73033983</v>
      </c>
      <c r="J35" s="302">
        <f>+'Plan de Adquisiciones '!T16</f>
        <v>73033983</v>
      </c>
      <c r="K35" s="298">
        <v>0</v>
      </c>
      <c r="L35" s="299">
        <v>0</v>
      </c>
      <c r="M35" s="282" t="s">
        <v>617</v>
      </c>
      <c r="N35" s="278" t="s">
        <v>613</v>
      </c>
      <c r="O35" s="281" t="str">
        <f>+'Plan de Adquisiciones '!K16</f>
        <v>Profesional 222-07</v>
      </c>
      <c r="P35" s="281">
        <v>2630603</v>
      </c>
      <c r="Q35" s="281" t="str">
        <f>+'Plan de Adquisiciones '!M16</f>
        <v xml:space="preserve"> jpalacio@idep.edu.co</v>
      </c>
    </row>
    <row r="36" spans="1:19" ht="75" x14ac:dyDescent="0.25">
      <c r="A36" s="289">
        <f>+'Plan de Adquisiciones '!J17</f>
        <v>80111621</v>
      </c>
      <c r="B36" s="282" t="str">
        <f>+'Plan de Adquisiciones '!I17</f>
        <v>Prestación de servicios profesionales para  realizar la  consolidación de referentes metodológicos, técnicos e instrumentales del Sistema de Seguimiento a la política educativa distrital en los contextos escolares, Fase 2</v>
      </c>
      <c r="C36" s="301">
        <v>2</v>
      </c>
      <c r="D36" s="301">
        <v>2</v>
      </c>
      <c r="E36" s="301">
        <f>+'Plan de Adquisiciones '!O17</f>
        <v>9</v>
      </c>
      <c r="F36" s="301">
        <v>1</v>
      </c>
      <c r="G36" s="282" t="s">
        <v>570</v>
      </c>
      <c r="H36" s="289"/>
      <c r="I36" s="302">
        <f>+'Plan de Adquisiciones '!T17</f>
        <v>66394530</v>
      </c>
      <c r="J36" s="302">
        <f>+'Plan de Adquisiciones '!T17</f>
        <v>66394530</v>
      </c>
      <c r="K36" s="298">
        <v>0</v>
      </c>
      <c r="L36" s="299">
        <v>0</v>
      </c>
      <c r="M36" s="282" t="s">
        <v>617</v>
      </c>
      <c r="N36" s="278" t="s">
        <v>613</v>
      </c>
      <c r="O36" s="281" t="str">
        <f>+'Plan de Adquisiciones '!K17</f>
        <v>Profesional 222-07</v>
      </c>
      <c r="P36" s="281">
        <v>2630603</v>
      </c>
      <c r="Q36" s="281" t="str">
        <f>+'Plan de Adquisiciones '!M17</f>
        <v xml:space="preserve"> jpalacio@idep.edu.co</v>
      </c>
    </row>
    <row r="37" spans="1:19" ht="90" x14ac:dyDescent="0.25">
      <c r="A37" s="282" t="str">
        <f>+'Plan de Adquisiciones '!J18</f>
        <v>80111601;82111902;82111901</v>
      </c>
      <c r="B37" s="282" t="str">
        <f>+'Plan de Adquisiciones '!I18</f>
        <v>Prestación de servicios de apoyo a la gestión para el desarrollo de actividades académicas e institucionales que permitan visibilizar, compartir, intercambiar y posicionar el conocimiento pedagógico y educativo generado desde el IDEP, en el cual participan maestros, maestras e investigadores e investigadoras</v>
      </c>
      <c r="C37" s="301">
        <v>4</v>
      </c>
      <c r="D37" s="301">
        <v>4</v>
      </c>
      <c r="E37" s="301">
        <f>+'Plan de Adquisiciones '!O18</f>
        <v>8</v>
      </c>
      <c r="F37" s="301">
        <v>1</v>
      </c>
      <c r="G37" s="282" t="s">
        <v>570</v>
      </c>
      <c r="H37" s="289"/>
      <c r="I37" s="302">
        <f>+'Plan de Adquisiciones '!T18+'Plan de Adquisiciones '!T70+'Plan de Adquisiciones '!T77+'Plan de Adquisiciones '!T127+'Plan de Adquisiciones '!T134</f>
        <v>209459003</v>
      </c>
      <c r="J37" s="302">
        <f>+I37</f>
        <v>209459003</v>
      </c>
      <c r="K37" s="298">
        <v>0</v>
      </c>
      <c r="L37" s="299">
        <v>0</v>
      </c>
      <c r="M37" s="282" t="s">
        <v>617</v>
      </c>
      <c r="N37" s="289" t="s">
        <v>613</v>
      </c>
      <c r="O37" s="281" t="str">
        <f>+'Plan de Adquisiciones '!K18</f>
        <v>Subdirector Académico</v>
      </c>
      <c r="P37" s="281">
        <v>2630603</v>
      </c>
      <c r="Q37" s="281" t="str">
        <f>+'Plan de Adquisiciones '!M18</f>
        <v xml:space="preserve">  jgutierrezs@idep.edu.co</v>
      </c>
    </row>
    <row r="38" spans="1:19" ht="75" x14ac:dyDescent="0.25">
      <c r="A38" s="289">
        <f>+'Plan de Adquisiciones '!J19</f>
        <v>80111601</v>
      </c>
      <c r="B38" s="282" t="str">
        <f>+'Plan de Adquisiciones '!I19</f>
        <v>Prestación de servicios profesionales para implementar la estrategia de comunicación y gestión del conocimiento, en el marco del Diseño del Sistema de Seguimiento a la política educativa distrital en los contextos escolares, Fase 2.</v>
      </c>
      <c r="C38" s="301">
        <v>4</v>
      </c>
      <c r="D38" s="301">
        <v>4</v>
      </c>
      <c r="E38" s="301">
        <f>+'Plan de Adquisiciones '!O19</f>
        <v>9</v>
      </c>
      <c r="F38" s="301">
        <v>1</v>
      </c>
      <c r="G38" s="282" t="s">
        <v>570</v>
      </c>
      <c r="H38" s="289"/>
      <c r="I38" s="302">
        <f>+'Plan de Adquisiciones '!T19</f>
        <v>70329021</v>
      </c>
      <c r="J38" s="302">
        <f>+'Plan de Adquisiciones '!T19</f>
        <v>70329021</v>
      </c>
      <c r="K38" s="298">
        <v>0</v>
      </c>
      <c r="L38" s="299">
        <v>0</v>
      </c>
      <c r="M38" s="282" t="s">
        <v>617</v>
      </c>
      <c r="N38" s="278" t="s">
        <v>613</v>
      </c>
      <c r="O38" s="281" t="str">
        <f>+'Plan de Adquisiciones '!K19</f>
        <v>Profesional Especializado 222-07</v>
      </c>
      <c r="P38" s="281">
        <v>2630603</v>
      </c>
      <c r="Q38" s="281" t="str">
        <f>+'Plan de Adquisiciones '!M19</f>
        <v xml:space="preserve"> jpalacio@idep.edu.co</v>
      </c>
    </row>
    <row r="39" spans="1:19" ht="60" x14ac:dyDescent="0.25">
      <c r="A39" s="289">
        <f>+'Plan de Adquisiciones '!J22</f>
        <v>80111621</v>
      </c>
      <c r="B39" s="282" t="str">
        <f>+'Plan de Adquisiciones '!I22</f>
        <v>Prestación de servicios profesionales  para aplicar la metodología de Evaluación  de impacto a proyectos de investigación del IDEP Fase 2, seleccionados en la vigencia 2016.</v>
      </c>
      <c r="C39" s="301">
        <v>2</v>
      </c>
      <c r="D39" s="301">
        <v>2</v>
      </c>
      <c r="E39" s="301">
        <f>+'Plan de Adquisiciones '!O22</f>
        <v>4</v>
      </c>
      <c r="F39" s="301">
        <v>1</v>
      </c>
      <c r="G39" s="282" t="s">
        <v>570</v>
      </c>
      <c r="H39" s="289"/>
      <c r="I39" s="302">
        <f>+'Plan de Adquisiciones '!T22</f>
        <v>26557812</v>
      </c>
      <c r="J39" s="302">
        <f>+'Plan de Adquisiciones '!T22</f>
        <v>26557812</v>
      </c>
      <c r="K39" s="298">
        <v>0</v>
      </c>
      <c r="L39" s="299">
        <v>0</v>
      </c>
      <c r="M39" s="282" t="s">
        <v>617</v>
      </c>
      <c r="N39" s="278" t="s">
        <v>613</v>
      </c>
      <c r="O39" s="281" t="str">
        <f>+'Plan de Adquisiciones '!K22</f>
        <v>Profesional 222-06</v>
      </c>
      <c r="P39" s="281">
        <v>2630603</v>
      </c>
      <c r="Q39" s="281" t="str">
        <f>+'Plan de Adquisiciones '!M22</f>
        <v>lacuña@idep.edu.co</v>
      </c>
    </row>
    <row r="40" spans="1:19" ht="60" x14ac:dyDescent="0.25">
      <c r="A40" s="289">
        <f>+'Plan de Adquisiciones '!J23</f>
        <v>80111621</v>
      </c>
      <c r="B40" s="282" t="str">
        <f>+'Plan de Adquisiciones '!I23</f>
        <v xml:space="preserve">Prestación de servicios profesionales para realizar la revisión, ajuste y validación de la metodología de Evaluación de Impacto (MEI) a proyectos de investigación del IDEP. </v>
      </c>
      <c r="C40" s="301">
        <v>7</v>
      </c>
      <c r="D40" s="301">
        <v>7</v>
      </c>
      <c r="E40" s="301">
        <f>+'Plan de Adquisiciones '!O23</f>
        <v>5</v>
      </c>
      <c r="F40" s="301">
        <v>1</v>
      </c>
      <c r="G40" s="282" t="s">
        <v>570</v>
      </c>
      <c r="H40" s="289"/>
      <c r="I40" s="302">
        <f>+'Plan de Adquisiciones '!T23</f>
        <v>33197265</v>
      </c>
      <c r="J40" s="302">
        <f>+'Plan de Adquisiciones '!T23</f>
        <v>33197265</v>
      </c>
      <c r="K40" s="298">
        <v>0</v>
      </c>
      <c r="L40" s="299">
        <v>0</v>
      </c>
      <c r="M40" s="282" t="s">
        <v>617</v>
      </c>
      <c r="N40" s="278" t="s">
        <v>613</v>
      </c>
      <c r="O40" s="281" t="str">
        <f>+'Plan de Adquisiciones '!K23</f>
        <v>Asesor 105-03</v>
      </c>
      <c r="P40" s="281">
        <v>2630603</v>
      </c>
      <c r="Q40" s="281" t="str">
        <f>+'Plan de Adquisiciones '!M23</f>
        <v xml:space="preserve"> mcuevas@idep.edu.co</v>
      </c>
    </row>
    <row r="41" spans="1:19" ht="105" x14ac:dyDescent="0.25">
      <c r="A41" s="289">
        <f>+'Plan de Adquisiciones '!J24</f>
        <v>80111621</v>
      </c>
      <c r="B41" s="282" t="str">
        <f>+'Plan de Adquisiciones '!I24</f>
        <v xml:space="preserve">Prestación de servicios profesionales para realizar el análisis cuantitativo de  la consulta a las fuentes primarias y el análisis documental de  fuentes secundarias del programa Calidad Educativa para Todos, en la primera aplicación del  Sistema de seguimiento a la política educativa distrital en los contextos escolares, Fase 2 </v>
      </c>
      <c r="C41" s="301">
        <v>2</v>
      </c>
      <c r="D41" s="301">
        <v>2</v>
      </c>
      <c r="E41" s="301">
        <f>+'Plan de Adquisiciones '!O24</f>
        <v>9</v>
      </c>
      <c r="F41" s="301">
        <v>1</v>
      </c>
      <c r="G41" s="282" t="s">
        <v>570</v>
      </c>
      <c r="H41" s="289"/>
      <c r="I41" s="302">
        <f>+'Plan de Adquisiciones '!T24</f>
        <v>59755077</v>
      </c>
      <c r="J41" s="302">
        <f>+'Plan de Adquisiciones '!T24</f>
        <v>59755077</v>
      </c>
      <c r="K41" s="298">
        <v>0</v>
      </c>
      <c r="L41" s="299">
        <v>0</v>
      </c>
      <c r="M41" s="282" t="s">
        <v>617</v>
      </c>
      <c r="N41" s="278" t="s">
        <v>613</v>
      </c>
      <c r="O41" s="281" t="str">
        <f>+'Plan de Adquisiciones '!K24</f>
        <v>Profesional 222-07</v>
      </c>
      <c r="P41" s="281">
        <v>2630603</v>
      </c>
      <c r="Q41" s="281" t="str">
        <f>+'Plan de Adquisiciones '!M24</f>
        <v xml:space="preserve"> jpalacio@idep.edu.co</v>
      </c>
    </row>
    <row r="42" spans="1:19" ht="105" x14ac:dyDescent="0.25">
      <c r="A42" s="289">
        <f>+'Plan de Adquisiciones '!J25</f>
        <v>80111621</v>
      </c>
      <c r="B42" s="282" t="str">
        <f>+'Plan de Adquisiciones '!I25</f>
        <v>Prestación de servicios profesionales para realizar el análisis cualitativo de  la consulta a las fuentes primarias y el análisis documental de  fuentes secundarias del programa Calidad Educativa para Todos, en la primera aplicación del  Sistema de seguimiento a la política educativa distrital en los contextos escolares, Fase 2</v>
      </c>
      <c r="C42" s="301">
        <v>2</v>
      </c>
      <c r="D42" s="301">
        <v>2</v>
      </c>
      <c r="E42" s="301">
        <f>+'Plan de Adquisiciones '!O25</f>
        <v>9</v>
      </c>
      <c r="F42" s="301">
        <v>1</v>
      </c>
      <c r="G42" s="282" t="s">
        <v>570</v>
      </c>
      <c r="H42" s="289"/>
      <c r="I42" s="302">
        <f>+'Plan de Adquisiciones '!T25</f>
        <v>59755077</v>
      </c>
      <c r="J42" s="302">
        <f>+'Plan de Adquisiciones '!T25</f>
        <v>59755077</v>
      </c>
      <c r="K42" s="298">
        <v>0</v>
      </c>
      <c r="L42" s="299">
        <v>0</v>
      </c>
      <c r="M42" s="282" t="s">
        <v>617</v>
      </c>
      <c r="N42" s="278" t="s">
        <v>613</v>
      </c>
      <c r="O42" s="281" t="str">
        <f>+'Plan de Adquisiciones '!K25</f>
        <v>Profesional 222-07</v>
      </c>
      <c r="P42" s="281">
        <v>2630603</v>
      </c>
      <c r="Q42" s="281" t="str">
        <f>+'Plan de Adquisiciones '!M25</f>
        <v xml:space="preserve"> jpalacio@idep.edu.co</v>
      </c>
    </row>
    <row r="43" spans="1:19" ht="105" x14ac:dyDescent="0.25">
      <c r="A43" s="289">
        <f>+'Plan de Adquisiciones '!J26</f>
        <v>80111622</v>
      </c>
      <c r="B43" s="282" t="str">
        <f>+'Plan de Adquisiciones '!I26</f>
        <v>Prestación de servicios profesionales para realizar el análisis cualitativo y cuantitativo de  la consulta a las fuentes primarias y el análisis documental de  fuentes secundarias del programa Equipo para el reencuentro, la reconciliación y la paz, en la primera aplicación del  Sistema de seguimiento a la política educativa distrital en los contextos escolares, Fase 2</v>
      </c>
      <c r="C43" s="301">
        <v>2</v>
      </c>
      <c r="D43" s="301">
        <v>2</v>
      </c>
      <c r="E43" s="301">
        <f>+'Plan de Adquisiciones '!O26</f>
        <v>9</v>
      </c>
      <c r="F43" s="301">
        <v>1</v>
      </c>
      <c r="G43" s="282" t="s">
        <v>570</v>
      </c>
      <c r="H43" s="289"/>
      <c r="I43" s="302">
        <f>+'Plan de Adquisiciones '!T26</f>
        <v>59755077</v>
      </c>
      <c r="J43" s="302">
        <f>+'Plan de Adquisiciones '!T26</f>
        <v>59755077</v>
      </c>
      <c r="K43" s="298">
        <v>0</v>
      </c>
      <c r="L43" s="299">
        <v>0</v>
      </c>
      <c r="M43" s="282" t="s">
        <v>617</v>
      </c>
      <c r="N43" s="278" t="s">
        <v>613</v>
      </c>
      <c r="O43" s="281" t="str">
        <f>+'Plan de Adquisiciones '!K26</f>
        <v>Profesional 222-07</v>
      </c>
      <c r="P43" s="281">
        <v>2630603</v>
      </c>
      <c r="Q43" s="281" t="str">
        <f>+'Plan de Adquisiciones '!M26</f>
        <v xml:space="preserve"> jpalacio@idep.edu.co</v>
      </c>
    </row>
    <row r="44" spans="1:19" ht="75" x14ac:dyDescent="0.25">
      <c r="A44" s="289">
        <f>+'Plan de Adquisiciones '!J27</f>
        <v>80111621</v>
      </c>
      <c r="B44" s="282" t="str">
        <f>+'Plan de Adquisiciones '!I27</f>
        <v>Prestación de servicios profesionales para  realizar la  articulación de acciones y consolidación de resultados, en la primera aplicación del  Sistema de seguimiento a la política educativa distrital en los contextos escolares, Fase 2</v>
      </c>
      <c r="C44" s="301">
        <v>2</v>
      </c>
      <c r="D44" s="301">
        <v>2</v>
      </c>
      <c r="E44" s="301">
        <f>+'Plan de Adquisiciones '!O27</f>
        <v>9</v>
      </c>
      <c r="F44" s="301">
        <v>1</v>
      </c>
      <c r="G44" s="282" t="s">
        <v>570</v>
      </c>
      <c r="H44" s="289"/>
      <c r="I44" s="302">
        <f>+'Plan de Adquisiciones '!T27</f>
        <v>73033983</v>
      </c>
      <c r="J44" s="302">
        <f>+'Plan de Adquisiciones '!T27</f>
        <v>73033983</v>
      </c>
      <c r="K44" s="298">
        <v>0</v>
      </c>
      <c r="L44" s="299">
        <v>0</v>
      </c>
      <c r="M44" s="282" t="s">
        <v>617</v>
      </c>
      <c r="N44" s="278" t="s">
        <v>613</v>
      </c>
      <c r="O44" s="281" t="str">
        <f>+'Plan de Adquisiciones '!K27</f>
        <v>Profesional 222-07</v>
      </c>
      <c r="P44" s="281">
        <v>2630603</v>
      </c>
      <c r="Q44" s="281" t="str">
        <f>+'Plan de Adquisiciones '!M27</f>
        <v xml:space="preserve"> jpalacio@idep.edu.co</v>
      </c>
    </row>
    <row r="45" spans="1:19" ht="120" x14ac:dyDescent="0.25">
      <c r="A45" s="289">
        <f>+'Plan de Adquisiciones '!J28</f>
        <v>80111621</v>
      </c>
      <c r="B45" s="282" t="str">
        <f>+'Plan de Adquisiciones '!I28</f>
        <v>Prestación de servicios profesionales para apoyar los procesos académicos relacionados con la indagación cualitativa, cuantitativa y mixta, en las líneas estratégicas de Calidad Educativa para Todos y Equipo por la Educación para el Reencuentro, la Reconciliación y la Paz,  en el marco de la primera aplicación del  Sistema de seguimiento a la política educativa distrital en los contextos escolares, Fase 2.</v>
      </c>
      <c r="C45" s="301">
        <v>6</v>
      </c>
      <c r="D45" s="301">
        <v>6</v>
      </c>
      <c r="E45" s="301">
        <f>+'Plan de Adquisiciones '!O28</f>
        <v>5</v>
      </c>
      <c r="F45" s="301">
        <v>1</v>
      </c>
      <c r="G45" s="282" t="s">
        <v>570</v>
      </c>
      <c r="H45" s="289"/>
      <c r="I45" s="302">
        <f>+'Plan de Adquisiciones '!T28</f>
        <v>206500000</v>
      </c>
      <c r="J45" s="302">
        <f>+'Plan de Adquisiciones '!T28</f>
        <v>206500000</v>
      </c>
      <c r="K45" s="298">
        <v>0</v>
      </c>
      <c r="L45" s="299">
        <v>0</v>
      </c>
      <c r="M45" s="282" t="s">
        <v>617</v>
      </c>
      <c r="N45" s="278" t="s">
        <v>613</v>
      </c>
      <c r="O45" s="281" t="str">
        <f>+'Plan de Adquisiciones '!K28</f>
        <v>Profesional 222-07</v>
      </c>
      <c r="P45" s="281">
        <v>2630603</v>
      </c>
      <c r="Q45" s="281" t="str">
        <f>+'Plan de Adquisiciones '!M28</f>
        <v xml:space="preserve"> jpalacio@idep.edu.co</v>
      </c>
    </row>
    <row r="46" spans="1:19" ht="75" x14ac:dyDescent="0.25">
      <c r="A46" s="289">
        <f>+'Plan de Adquisiciones '!J29</f>
        <v>80111601</v>
      </c>
      <c r="B46" s="282" t="str">
        <f>+'Plan de Adquisiciones '!I29</f>
        <v>Prestación de servicios profesionales para brindar apoyo administrativo en los procesos y procedimientos desarrollados en el Estudio Sistema de seguimiento a la política educativa distrital en los contextos escolares - Fase 2.</v>
      </c>
      <c r="C46" s="301">
        <v>2</v>
      </c>
      <c r="D46" s="301">
        <v>2</v>
      </c>
      <c r="E46" s="301">
        <f>+'Plan de Adquisiciones '!O29</f>
        <v>11</v>
      </c>
      <c r="F46" s="301">
        <v>1</v>
      </c>
      <c r="G46" s="282" t="s">
        <v>570</v>
      </c>
      <c r="H46" s="289"/>
      <c r="I46" s="302">
        <f>+'Plan de Adquisiciones '!T29</f>
        <v>40574435</v>
      </c>
      <c r="J46" s="302">
        <f>+'Plan de Adquisiciones '!T29</f>
        <v>40574435</v>
      </c>
      <c r="K46" s="298">
        <v>0</v>
      </c>
      <c r="L46" s="299">
        <v>0</v>
      </c>
      <c r="M46" s="282" t="s">
        <v>617</v>
      </c>
      <c r="N46" s="278" t="s">
        <v>613</v>
      </c>
      <c r="O46" s="281" t="str">
        <f>+'Plan de Adquisiciones '!K29</f>
        <v>Profesional 222-07</v>
      </c>
      <c r="P46" s="281">
        <v>2630603</v>
      </c>
      <c r="Q46" s="281" t="str">
        <f>+'Plan de Adquisiciones '!M29</f>
        <v xml:space="preserve"> jpalacio@idep.edu.co</v>
      </c>
    </row>
    <row r="47" spans="1:19" ht="75" x14ac:dyDescent="0.25">
      <c r="A47" s="289">
        <f>+'Plan de Adquisiciones '!J34</f>
        <v>80111621</v>
      </c>
      <c r="B47" s="282" t="str">
        <f>+'Plan de Adquisiciones '!I34</f>
        <v>Prestación de servicios profesionales para realizar la formulación y orientación  del estudio “Exploración de aspectos socio-emocionales que pueden afectar procesos de paz y reconciliación en las IED de Bogotá en el marco del postconflicto”.</v>
      </c>
      <c r="C47" s="301">
        <v>7</v>
      </c>
      <c r="D47" s="301">
        <v>7</v>
      </c>
      <c r="E47" s="301">
        <f>+'Plan de Adquisiciones '!O34</f>
        <v>5</v>
      </c>
      <c r="F47" s="301">
        <v>1</v>
      </c>
      <c r="G47" s="282" t="s">
        <v>570</v>
      </c>
      <c r="H47" s="289"/>
      <c r="I47" s="302">
        <f>+'Plan de Adquisiciones '!T34</f>
        <v>21440000</v>
      </c>
      <c r="J47" s="302">
        <f>+'Plan de Adquisiciones '!T34</f>
        <v>21440000</v>
      </c>
      <c r="K47" s="298">
        <v>0</v>
      </c>
      <c r="L47" s="299">
        <v>0</v>
      </c>
      <c r="M47" s="282" t="s">
        <v>617</v>
      </c>
      <c r="N47" s="278" t="s">
        <v>613</v>
      </c>
      <c r="O47" s="281" t="str">
        <f>+'Plan de Adquisiciones '!K34</f>
        <v>Asesor 105-02</v>
      </c>
      <c r="P47" s="281">
        <v>2630603</v>
      </c>
      <c r="Q47" s="281" t="str">
        <f>+'Plan de Adquisiciones '!M34</f>
        <v xml:space="preserve"> mramirez@idep.edu.co</v>
      </c>
    </row>
    <row r="48" spans="1:19" ht="75" x14ac:dyDescent="0.25">
      <c r="A48" s="289">
        <f>+'Plan de Adquisiciones '!J35</f>
        <v>80111621</v>
      </c>
      <c r="B48" s="282" t="str">
        <f>+'Plan de Adquisiciones '!I35</f>
        <v>Prestación de servicios profesionales para realizar el apoyo metodológico del estudio “Exploración de aspectos socio-emocionales que pueden afectar procesos de paz y reconciliación en las IED de Bogotá en el marco del postconflicto”.</v>
      </c>
      <c r="C48" s="301">
        <v>8</v>
      </c>
      <c r="D48" s="301">
        <v>8</v>
      </c>
      <c r="E48" s="301">
        <f>+'Plan de Adquisiciones '!O35</f>
        <v>4</v>
      </c>
      <c r="F48" s="301">
        <v>1</v>
      </c>
      <c r="G48" s="282" t="s">
        <v>570</v>
      </c>
      <c r="H48" s="289"/>
      <c r="I48" s="302">
        <f>+'Plan de Adquisiciones '!T35</f>
        <v>16880000</v>
      </c>
      <c r="J48" s="302">
        <f>+'Plan de Adquisiciones '!T35</f>
        <v>16880000</v>
      </c>
      <c r="K48" s="298">
        <v>0</v>
      </c>
      <c r="L48" s="299">
        <v>0</v>
      </c>
      <c r="M48" s="282" t="s">
        <v>617</v>
      </c>
      <c r="N48" s="278" t="s">
        <v>613</v>
      </c>
      <c r="O48" s="281" t="str">
        <f>+'Plan de Adquisiciones '!K35</f>
        <v>Asesor 105-02</v>
      </c>
      <c r="P48" s="281">
        <v>2630603</v>
      </c>
      <c r="Q48" s="281" t="str">
        <f>+'Plan de Adquisiciones '!M35</f>
        <v xml:space="preserve"> mramirez@idep.edu.co</v>
      </c>
    </row>
    <row r="49" spans="1:17" ht="75" x14ac:dyDescent="0.25">
      <c r="A49" s="289">
        <f>+'Plan de Adquisiciones '!J36</f>
        <v>80111621</v>
      </c>
      <c r="B49" s="282" t="str">
        <f>+'Plan de Adquisiciones '!I36</f>
        <v>Prestación de servicios profesionales para realizar el apoyo académico del estudio “Exploración de aspectos socio-emocionales que pueden afectar procesos de paz y reconciliación en las IED de Bogotá en el marco del postconflicto”.</v>
      </c>
      <c r="C49" s="301">
        <v>8</v>
      </c>
      <c r="D49" s="301">
        <v>8</v>
      </c>
      <c r="E49" s="301">
        <f>+'Plan de Adquisiciones '!O36</f>
        <v>4</v>
      </c>
      <c r="F49" s="301">
        <v>1</v>
      </c>
      <c r="G49" s="282" t="s">
        <v>570</v>
      </c>
      <c r="H49" s="289"/>
      <c r="I49" s="302">
        <f>+'Plan de Adquisiciones '!T36</f>
        <v>16880000</v>
      </c>
      <c r="J49" s="302">
        <f>+'Plan de Adquisiciones '!T36</f>
        <v>16880000</v>
      </c>
      <c r="K49" s="298">
        <v>0</v>
      </c>
      <c r="L49" s="299">
        <v>0</v>
      </c>
      <c r="M49" s="282" t="s">
        <v>617</v>
      </c>
      <c r="N49" s="278" t="s">
        <v>613</v>
      </c>
      <c r="O49" s="281" t="str">
        <f>+'Plan de Adquisiciones '!K36</f>
        <v>Asesor 105-02</v>
      </c>
      <c r="P49" s="281">
        <v>2630603</v>
      </c>
      <c r="Q49" s="281" t="str">
        <f>+'Plan de Adquisiciones '!M36</f>
        <v xml:space="preserve"> mramirez@idep.edu.co</v>
      </c>
    </row>
    <row r="50" spans="1:17" ht="120" x14ac:dyDescent="0.25">
      <c r="A50" s="289">
        <f>+'Plan de Adquisiciones '!J37</f>
        <v>80111621</v>
      </c>
      <c r="B50" s="282" t="str">
        <f>+'Plan de Adquisiciones '!I37</f>
        <v>Prestación de servicios profesionales para apoyar el diseño, la construcción y el pilotaje de los instrumentos, la recolección de información en la IED de la Zona A y la sistematización de los datos a obtener, en el estudio “Exploración de aspectos socio-emocionales que pueden afectar procesos de paz y reconciliación en las IED de Bogotá en el marco del postconflicto”</v>
      </c>
      <c r="C50" s="301">
        <v>8</v>
      </c>
      <c r="D50" s="301">
        <v>8</v>
      </c>
      <c r="E50" s="301">
        <f>+'Plan de Adquisiciones '!O37</f>
        <v>4</v>
      </c>
      <c r="F50" s="301">
        <v>1</v>
      </c>
      <c r="G50" s="282" t="s">
        <v>570</v>
      </c>
      <c r="H50" s="289"/>
      <c r="I50" s="302">
        <f>+'Plan de Adquisiciones '!T37</f>
        <v>11200000</v>
      </c>
      <c r="J50" s="302">
        <f>+'Plan de Adquisiciones '!T37</f>
        <v>11200000</v>
      </c>
      <c r="K50" s="298">
        <v>0</v>
      </c>
      <c r="L50" s="299">
        <v>0</v>
      </c>
      <c r="M50" s="282" t="s">
        <v>617</v>
      </c>
      <c r="N50" s="278" t="s">
        <v>613</v>
      </c>
      <c r="O50" s="281" t="str">
        <f>+'Plan de Adquisiciones '!K37</f>
        <v>Asesor 105-02</v>
      </c>
      <c r="P50" s="281">
        <v>2630603</v>
      </c>
      <c r="Q50" s="281" t="str">
        <f>+'Plan de Adquisiciones '!M37</f>
        <v xml:space="preserve"> mramirez@idep.edu.co</v>
      </c>
    </row>
    <row r="51" spans="1:17" ht="120" x14ac:dyDescent="0.25">
      <c r="A51" s="289">
        <f>+'Plan de Adquisiciones '!J38</f>
        <v>80111621</v>
      </c>
      <c r="B51" s="282" t="str">
        <f>+'Plan de Adquisiciones '!I38</f>
        <v>Prestación de servicios profesionales para apoyar el diseño, la construcción y el pilotaje de los instrumentos, la recolección de información en la IED de la Zona B y la sistematización de los datos a obtener, en el estudio “Exploración de aspectos socio-emocionales que pueden afectar procesos de paz y reconciliación en las IED de Bogotá en el marco del postconflicto”</v>
      </c>
      <c r="C51" s="301">
        <v>8</v>
      </c>
      <c r="D51" s="301">
        <v>8</v>
      </c>
      <c r="E51" s="301">
        <f>+'Plan de Adquisiciones '!O38</f>
        <v>4</v>
      </c>
      <c r="F51" s="301">
        <v>1</v>
      </c>
      <c r="G51" s="282" t="s">
        <v>570</v>
      </c>
      <c r="H51" s="289"/>
      <c r="I51" s="302">
        <f>+'Plan de Adquisiciones '!T38</f>
        <v>11200000</v>
      </c>
      <c r="J51" s="302">
        <f>+'Plan de Adquisiciones '!T38</f>
        <v>11200000</v>
      </c>
      <c r="K51" s="298">
        <v>0</v>
      </c>
      <c r="L51" s="299">
        <v>0</v>
      </c>
      <c r="M51" s="282" t="s">
        <v>617</v>
      </c>
      <c r="N51" s="278" t="s">
        <v>613</v>
      </c>
      <c r="O51" s="281" t="str">
        <f>+'Plan de Adquisiciones '!K38</f>
        <v>Asesor 105-02</v>
      </c>
      <c r="P51" s="281">
        <v>2630603</v>
      </c>
      <c r="Q51" s="281" t="str">
        <f>+'Plan de Adquisiciones '!M38</f>
        <v xml:space="preserve"> mramirez@idep.edu.co</v>
      </c>
    </row>
    <row r="52" spans="1:17" ht="120" x14ac:dyDescent="0.25">
      <c r="A52" s="289">
        <f>+'Plan de Adquisiciones '!J39</f>
        <v>80111621</v>
      </c>
      <c r="B52" s="282" t="str">
        <f>+'Plan de Adquisiciones '!I39</f>
        <v>Prestación de servicios profesionales para apoyar el diseño, la construcción y el pilotaje de los instrumentos, la recolección de información en la IED de la Zona C y la sistematización de los datos a obtener, en el estudio “Exploración de aspectos socio-emocionales que pueden afectar procesos de paz y reconciliación en las IED de Bogotá en el marco del postconflicto”</v>
      </c>
      <c r="C52" s="301">
        <v>8</v>
      </c>
      <c r="D52" s="301">
        <v>8</v>
      </c>
      <c r="E52" s="301">
        <f>+'Plan de Adquisiciones '!O39</f>
        <v>4</v>
      </c>
      <c r="F52" s="301">
        <v>1</v>
      </c>
      <c r="G52" s="282" t="s">
        <v>570</v>
      </c>
      <c r="H52" s="289"/>
      <c r="I52" s="302">
        <f>+'Plan de Adquisiciones '!T39</f>
        <v>11200000</v>
      </c>
      <c r="J52" s="302">
        <f>+'Plan de Adquisiciones '!T39</f>
        <v>11200000</v>
      </c>
      <c r="K52" s="298">
        <v>0</v>
      </c>
      <c r="L52" s="299">
        <v>0</v>
      </c>
      <c r="M52" s="282" t="s">
        <v>617</v>
      </c>
      <c r="N52" s="278" t="s">
        <v>613</v>
      </c>
      <c r="O52" s="281" t="str">
        <f>+'Plan de Adquisiciones '!K39</f>
        <v>Asesor 105-02</v>
      </c>
      <c r="P52" s="281">
        <v>2630603</v>
      </c>
      <c r="Q52" s="281" t="str">
        <f>+'Plan de Adquisiciones '!M39</f>
        <v xml:space="preserve"> mramirez@idep.edu.co</v>
      </c>
    </row>
    <row r="53" spans="1:17" ht="120" x14ac:dyDescent="0.25">
      <c r="A53" s="289">
        <f>+'Plan de Adquisiciones '!J40</f>
        <v>80111621</v>
      </c>
      <c r="B53" s="282" t="str">
        <f>+'Plan de Adquisiciones '!I40</f>
        <v>Prestación de servicios profesionales para apoyar el diseño, la construcción y el pilotaje de los instrumentos, la recolección de información en la IED de la Zona D y la sistematización de los datos a obtener, en el estudio “Exploración de aspectos socio-emocionales que pueden afectar procesos de paz y reconciliación en las IED de Bogotá en el marco del postconflicto”</v>
      </c>
      <c r="C53" s="301">
        <v>8</v>
      </c>
      <c r="D53" s="301">
        <v>8</v>
      </c>
      <c r="E53" s="301">
        <f>+'Plan de Adquisiciones '!O40</f>
        <v>4</v>
      </c>
      <c r="F53" s="301">
        <v>1</v>
      </c>
      <c r="G53" s="282" t="s">
        <v>570</v>
      </c>
      <c r="H53" s="289"/>
      <c r="I53" s="302">
        <f>+'Plan de Adquisiciones '!T40</f>
        <v>11200000</v>
      </c>
      <c r="J53" s="302">
        <f>+'Plan de Adquisiciones '!T40</f>
        <v>11200000</v>
      </c>
      <c r="K53" s="298">
        <v>0</v>
      </c>
      <c r="L53" s="299">
        <v>0</v>
      </c>
      <c r="M53" s="282" t="s">
        <v>617</v>
      </c>
      <c r="N53" s="278" t="s">
        <v>613</v>
      </c>
      <c r="O53" s="281" t="str">
        <f>+'Plan de Adquisiciones '!K40</f>
        <v>Asesor 105-02</v>
      </c>
      <c r="P53" s="281">
        <v>2630603</v>
      </c>
      <c r="Q53" s="281" t="str">
        <f>+'Plan de Adquisiciones '!M40</f>
        <v xml:space="preserve"> mramirez@idep.edu.co</v>
      </c>
    </row>
    <row r="54" spans="1:17" ht="120" x14ac:dyDescent="0.25">
      <c r="A54" s="289">
        <f>+'Plan de Adquisiciones '!J42</f>
        <v>80111621</v>
      </c>
      <c r="B54" s="282" t="str">
        <f>+'Plan de Adquisiciones '!I42</f>
        <v>Prestación de servicios profesionales para realizar la revisión y análisis de datos estadísticos de diferentes fuentes secundarias relacionadas con temas de sexualidad para el estudio “Abordaje integral de la maternidad y la paternidad tempranas en el contexto escolar – fase II. Elaboración de un cuerpo de indicadores”, en el marco del Convenio 1452 de 2017 en su Componente 2.</v>
      </c>
      <c r="C54" s="301">
        <v>4</v>
      </c>
      <c r="D54" s="301">
        <v>4</v>
      </c>
      <c r="E54" s="301">
        <f>+'Plan de Adquisiciones '!O42</f>
        <v>4</v>
      </c>
      <c r="F54" s="301">
        <v>1</v>
      </c>
      <c r="G54" s="282" t="s">
        <v>570</v>
      </c>
      <c r="H54" s="289"/>
      <c r="I54" s="302">
        <f>+'Plan de Adquisiciones '!T42</f>
        <v>19918359</v>
      </c>
      <c r="J54" s="302">
        <f>+'Plan de Adquisiciones '!T42</f>
        <v>19918359</v>
      </c>
      <c r="K54" s="298">
        <v>0</v>
      </c>
      <c r="L54" s="299">
        <v>0</v>
      </c>
      <c r="M54" s="282" t="s">
        <v>617</v>
      </c>
      <c r="N54" s="278" t="s">
        <v>613</v>
      </c>
      <c r="O54" s="281" t="str">
        <f>+'Plan de Adquisiciones '!K42</f>
        <v>Asesor 105-03</v>
      </c>
      <c r="P54" s="281">
        <v>2630603</v>
      </c>
      <c r="Q54" s="281" t="str">
        <f>+'Plan de Adquisiciones '!M42</f>
        <v xml:space="preserve"> mcuevas@idep.edu.co</v>
      </c>
    </row>
    <row r="55" spans="1:17" ht="90" x14ac:dyDescent="0.25">
      <c r="A55" s="289">
        <f>+'Plan de Adquisiciones '!J43</f>
        <v>80111621</v>
      </c>
      <c r="B55" s="282" t="str">
        <f>+'Plan de Adquisiciones '!I43</f>
        <v>Prestación de servicios profesionales para orientar académicamente, desde una perspectiva cualitativa, el estudio “Abordaje integral de la maternidad y la paternidad tempranas en el contexto escolar – fase II. Elaboración de un cuerpo de indicadores”, en el marco del Convenio 1452 de 2017 en su Componente 2.</v>
      </c>
      <c r="C55" s="301">
        <v>5</v>
      </c>
      <c r="D55" s="301">
        <v>5</v>
      </c>
      <c r="E55" s="301">
        <f>+'Plan de Adquisiciones '!O43</f>
        <v>4</v>
      </c>
      <c r="F55" s="301">
        <v>1</v>
      </c>
      <c r="G55" s="282" t="s">
        <v>570</v>
      </c>
      <c r="H55" s="289"/>
      <c r="I55" s="302">
        <f>+'Plan de Adquisiciones '!T43</f>
        <v>27590616</v>
      </c>
      <c r="J55" s="302">
        <f>+'Plan de Adquisiciones '!T43</f>
        <v>27590616</v>
      </c>
      <c r="K55" s="298">
        <v>0</v>
      </c>
      <c r="L55" s="299">
        <v>0</v>
      </c>
      <c r="M55" s="282" t="s">
        <v>617</v>
      </c>
      <c r="N55" s="278" t="s">
        <v>613</v>
      </c>
      <c r="O55" s="281" t="str">
        <f>+'Plan de Adquisiciones '!K43</f>
        <v>Asesor 105-03</v>
      </c>
      <c r="P55" s="281">
        <v>2630603</v>
      </c>
      <c r="Q55" s="281" t="str">
        <f>+'Plan de Adquisiciones '!M43</f>
        <v xml:space="preserve"> mcuevas@idep.edu.co</v>
      </c>
    </row>
    <row r="56" spans="1:17" ht="90" x14ac:dyDescent="0.25">
      <c r="A56" s="289">
        <f>+'Plan de Adquisiciones '!J44</f>
        <v>80111621</v>
      </c>
      <c r="B56" s="282" t="str">
        <f>+'Plan de Adquisiciones '!I44</f>
        <v>Prestación de servicios profesionales para orientar académicamente, desde una perspectiva cuantitativa, el estudio “Abordaje integral de la maternidad y la paternidad tempranas en el contexto escolar – fase II. Elaboración de un cuerpo de indicadores”, en el marco del Convenio 1452 de 2017 en su Componente 2.</v>
      </c>
      <c r="C56" s="301">
        <v>5</v>
      </c>
      <c r="D56" s="301">
        <v>5</v>
      </c>
      <c r="E56" s="301">
        <f>+'Plan de Adquisiciones '!O44</f>
        <v>4</v>
      </c>
      <c r="F56" s="301">
        <v>1</v>
      </c>
      <c r="G56" s="282" t="s">
        <v>570</v>
      </c>
      <c r="H56" s="289"/>
      <c r="I56" s="302">
        <f>+'Plan de Adquisiciones '!T44</f>
        <v>27590616</v>
      </c>
      <c r="J56" s="302">
        <f>+'Plan de Adquisiciones '!T44</f>
        <v>27590616</v>
      </c>
      <c r="K56" s="298">
        <v>0</v>
      </c>
      <c r="L56" s="299">
        <v>0</v>
      </c>
      <c r="M56" s="282" t="s">
        <v>617</v>
      </c>
      <c r="N56" s="278" t="s">
        <v>613</v>
      </c>
      <c r="O56" s="281" t="str">
        <f>+'Plan de Adquisiciones '!K44</f>
        <v>Asesor 105-03</v>
      </c>
      <c r="P56" s="281">
        <v>2630603</v>
      </c>
      <c r="Q56" s="281" t="str">
        <f>+'Plan de Adquisiciones '!M44</f>
        <v xml:space="preserve"> mcuevas@idep.edu.co</v>
      </c>
    </row>
    <row r="57" spans="1:17" ht="105" x14ac:dyDescent="0.25">
      <c r="A57" s="289">
        <f>+'Plan de Adquisiciones '!J45</f>
        <v>80111621</v>
      </c>
      <c r="B57" s="282" t="str">
        <f>+'Plan de Adquisiciones '!I45</f>
        <v>Prestación de servicios profesionales para la construcción de indicadores e instrumentos cualitativos del estudio “Abordaje integral de la maternidad y la paternidad tempranas en el contexto escolar – fase II. Elaboración de un cuerpo de indicadores”, en el marco del Convenio 1452 del 17 de marzo de 2017 en su Componente 2.</v>
      </c>
      <c r="C57" s="301">
        <v>5</v>
      </c>
      <c r="D57" s="301">
        <v>5</v>
      </c>
      <c r="E57" s="301">
        <f>+'Plan de Adquisiciones '!O45</f>
        <v>4</v>
      </c>
      <c r="F57" s="301">
        <v>1</v>
      </c>
      <c r="G57" s="282" t="s">
        <v>570</v>
      </c>
      <c r="H57" s="289"/>
      <c r="I57" s="302">
        <f>+'Plan de Adquisiciones '!T45</f>
        <v>19918359</v>
      </c>
      <c r="J57" s="302">
        <f>+'Plan de Adquisiciones '!T45</f>
        <v>19918359</v>
      </c>
      <c r="K57" s="298">
        <v>0</v>
      </c>
      <c r="L57" s="299">
        <v>0</v>
      </c>
      <c r="M57" s="282" t="s">
        <v>617</v>
      </c>
      <c r="N57" s="278" t="s">
        <v>613</v>
      </c>
      <c r="O57" s="281" t="str">
        <f>+'Plan de Adquisiciones '!K45</f>
        <v>Asesor 105-03</v>
      </c>
      <c r="P57" s="281">
        <v>2630603</v>
      </c>
      <c r="Q57" s="281" t="str">
        <f>+'Plan de Adquisiciones '!M45</f>
        <v xml:space="preserve"> mcuevas@idep.edu.co</v>
      </c>
    </row>
    <row r="58" spans="1:17" ht="105" x14ac:dyDescent="0.25">
      <c r="A58" s="289">
        <f>+'Plan de Adquisiciones '!J46</f>
        <v>80111621</v>
      </c>
      <c r="B58" s="282" t="str">
        <f>+'Plan de Adquisiciones '!I46</f>
        <v>Prestación de servicios profesionales para la construcción de indicadores e instrumentos cuantitativos del estudio “Abordaje integral de la maternidad y la paternidad tempranas en el contexto escolar – fase II. Elaboración de un cuerpo de indicadores”, en el marco del Convenio 1452 de 2017 en su Componente 2.</v>
      </c>
      <c r="C58" s="301">
        <v>5</v>
      </c>
      <c r="D58" s="301">
        <v>5</v>
      </c>
      <c r="E58" s="301">
        <f>+'Plan de Adquisiciones '!O46</f>
        <v>4</v>
      </c>
      <c r="F58" s="301">
        <v>1</v>
      </c>
      <c r="G58" s="282" t="s">
        <v>570</v>
      </c>
      <c r="H58" s="289"/>
      <c r="I58" s="302">
        <f>+'Plan de Adquisiciones '!T46</f>
        <v>19918359</v>
      </c>
      <c r="J58" s="302">
        <f>+'Plan de Adquisiciones '!T46</f>
        <v>19918359</v>
      </c>
      <c r="K58" s="298">
        <v>0</v>
      </c>
      <c r="L58" s="299">
        <v>0</v>
      </c>
      <c r="M58" s="282" t="s">
        <v>617</v>
      </c>
      <c r="N58" s="278" t="s">
        <v>613</v>
      </c>
      <c r="O58" s="281" t="str">
        <f>+'Plan de Adquisiciones '!K46</f>
        <v>Asesor 105-03</v>
      </c>
      <c r="P58" s="281">
        <v>2630603</v>
      </c>
      <c r="Q58" s="281" t="str">
        <f>+'Plan de Adquisiciones '!M46</f>
        <v xml:space="preserve"> mcuevas@idep.edu.co</v>
      </c>
    </row>
    <row r="59" spans="1:17" ht="90" x14ac:dyDescent="0.25">
      <c r="A59" s="289">
        <f>+'Plan de Adquisiciones '!J47</f>
        <v>80111621</v>
      </c>
      <c r="B59" s="282" t="str">
        <f>+'Plan de Adquisiciones '!I47</f>
        <v>Prestación de servicios profesionales para realizar la gestión administrativa dentro del estudio "Abordaje integral de la maternidad y la paternidad tempranas en el contexto escolar – fase II. Elaboración de un cuerpo de indicadores”, en el marco del Convenio 1452 de 2017 en su Componente 2.</v>
      </c>
      <c r="C59" s="301">
        <v>4</v>
      </c>
      <c r="D59" s="301">
        <v>4</v>
      </c>
      <c r="E59" s="301">
        <f>+'Plan de Adquisiciones '!O47</f>
        <v>4</v>
      </c>
      <c r="F59" s="301">
        <v>1</v>
      </c>
      <c r="G59" s="282" t="s">
        <v>570</v>
      </c>
      <c r="H59" s="289"/>
      <c r="I59" s="302">
        <f>+'Plan de Adquisiciones '!T47</f>
        <v>14754340</v>
      </c>
      <c r="J59" s="302">
        <f>+'Plan de Adquisiciones '!T47</f>
        <v>14754340</v>
      </c>
      <c r="K59" s="298">
        <v>0</v>
      </c>
      <c r="L59" s="299">
        <v>0</v>
      </c>
      <c r="M59" s="282" t="s">
        <v>617</v>
      </c>
      <c r="N59" s="278" t="s">
        <v>613</v>
      </c>
      <c r="O59" s="281" t="str">
        <f>+'Plan de Adquisiciones '!K47</f>
        <v>Asesor 105-03</v>
      </c>
      <c r="P59" s="281">
        <v>2630603</v>
      </c>
      <c r="Q59" s="281" t="str">
        <f>+'Plan de Adquisiciones '!M47</f>
        <v xml:space="preserve"> mcuevas@idep.edu.co</v>
      </c>
    </row>
    <row r="60" spans="1:17" ht="105" x14ac:dyDescent="0.25">
      <c r="A60" s="289">
        <f>+'Plan de Adquisiciones '!J48</f>
        <v>80111621</v>
      </c>
      <c r="B60" s="282" t="str">
        <f>+'Plan de Adquisiciones '!I48</f>
        <v>Prestación de servicios de apoyo a la gestión para el desarrollo de actividades académicas e institucionales de los componentes: (i) abordaje de la maternidad y la parternidad tempranas, (ii) sistema de monitoreo de los estándares de calidad en educación inicial, (iii) innovación educativa y (iv) reconocimiento docente, en el marco del Convenio 1452 de 2017.</v>
      </c>
      <c r="C60" s="301">
        <v>5</v>
      </c>
      <c r="D60" s="301">
        <v>5</v>
      </c>
      <c r="E60" s="301">
        <f>+'Plan de Adquisiciones '!O48</f>
        <v>7</v>
      </c>
      <c r="F60" s="301">
        <v>1</v>
      </c>
      <c r="G60" s="282" t="s">
        <v>570</v>
      </c>
      <c r="H60" s="289"/>
      <c r="I60" s="302">
        <f>+'Plan de Adquisiciones '!T48+'Plan de Adquisiciones '!T57+'Plan de Adquisiciones '!T114+'Plan de Adquisiciones '!T140</f>
        <v>474564640</v>
      </c>
      <c r="J60" s="302">
        <f>+I60</f>
        <v>474564640</v>
      </c>
      <c r="K60" s="298">
        <v>0</v>
      </c>
      <c r="L60" s="299">
        <v>0</v>
      </c>
      <c r="M60" s="282" t="s">
        <v>617</v>
      </c>
      <c r="N60" s="278" t="s">
        <v>613</v>
      </c>
      <c r="O60" s="281" t="str">
        <f>+'Plan de Adquisiciones '!K48</f>
        <v>Asesor 105-02</v>
      </c>
      <c r="P60" s="281">
        <v>2630603</v>
      </c>
      <c r="Q60" s="281" t="str">
        <f>+'Plan de Adquisiciones '!M48</f>
        <v xml:space="preserve"> mramirez@idep.edu.co</v>
      </c>
    </row>
    <row r="61" spans="1:17" ht="105" x14ac:dyDescent="0.25">
      <c r="A61" s="289">
        <f>+'Plan de Adquisiciones '!J50</f>
        <v>80111601</v>
      </c>
      <c r="B61" s="282" t="str">
        <f>+'Plan de Adquisiciones '!I50</f>
        <v>Prestación de servicios profesionales para la articulación y consolidación de la información producida durante el desarrollo del estudio de elaboración y aplicación de un sistema de monitoreo al cumplimiento de los estándares de calidad en Educación Inicial, en el marco del Convenio 1452 de 2017 en su componente 3.</v>
      </c>
      <c r="C61" s="301">
        <v>4</v>
      </c>
      <c r="D61" s="301">
        <v>4</v>
      </c>
      <c r="E61" s="301">
        <f>+'Plan de Adquisiciones '!O50</f>
        <v>8</v>
      </c>
      <c r="F61" s="301">
        <v>1</v>
      </c>
      <c r="G61" s="282" t="s">
        <v>570</v>
      </c>
      <c r="H61" s="289"/>
      <c r="I61" s="302">
        <f>+'Plan de Adquisiciones '!T50</f>
        <v>64919096</v>
      </c>
      <c r="J61" s="302">
        <f>+'Plan de Adquisiciones '!T50</f>
        <v>64919096</v>
      </c>
      <c r="K61" s="298">
        <v>0</v>
      </c>
      <c r="L61" s="299">
        <v>0</v>
      </c>
      <c r="M61" s="282" t="s">
        <v>617</v>
      </c>
      <c r="N61" s="278" t="s">
        <v>613</v>
      </c>
      <c r="O61" s="281" t="str">
        <f>+'Plan de Adquisiciones '!K50</f>
        <v>Asesor 105-03</v>
      </c>
      <c r="P61" s="281">
        <v>2630603</v>
      </c>
      <c r="Q61" s="281" t="str">
        <f>+'Plan de Adquisiciones '!M50</f>
        <v xml:space="preserve"> mcuevas@idep.edu.co</v>
      </c>
    </row>
    <row r="62" spans="1:17" ht="120" x14ac:dyDescent="0.25">
      <c r="A62" s="289">
        <f>+'Plan de Adquisiciones '!J51</f>
        <v>80111601</v>
      </c>
      <c r="B62" s="282" t="str">
        <f>+'Plan de Adquisiciones '!I51</f>
        <v>Prestación de servicios profesionales para el ajuste, validación de la metodología, monitoreo a la aplicación, análisis e interpretación de resultados de instrumentos cuantitativos del estudio de elaboración y aplicación de un sistema de monitoreo al cumplimiento de los estándares de calidad en Educación Inicial, en el marco del Convenio 1452 de 2017 en su componente 3.</v>
      </c>
      <c r="C62" s="301">
        <v>4</v>
      </c>
      <c r="D62" s="301">
        <v>4</v>
      </c>
      <c r="E62" s="301">
        <f>+'Plan de Adquisiciones '!O51</f>
        <v>7</v>
      </c>
      <c r="F62" s="301">
        <v>1</v>
      </c>
      <c r="G62" s="282" t="s">
        <v>570</v>
      </c>
      <c r="H62" s="289"/>
      <c r="I62" s="302">
        <f>+'Plan de Adquisiciones '!T51</f>
        <v>46476171</v>
      </c>
      <c r="J62" s="302">
        <f>+'Plan de Adquisiciones '!T51</f>
        <v>46476171</v>
      </c>
      <c r="K62" s="298">
        <v>0</v>
      </c>
      <c r="L62" s="299">
        <v>0</v>
      </c>
      <c r="M62" s="282" t="s">
        <v>617</v>
      </c>
      <c r="N62" s="278" t="s">
        <v>613</v>
      </c>
      <c r="O62" s="281" t="str">
        <f>+'Plan de Adquisiciones '!K51</f>
        <v>Asesor 105-03</v>
      </c>
      <c r="P62" s="281">
        <v>2630603</v>
      </c>
      <c r="Q62" s="281" t="str">
        <f>+'Plan de Adquisiciones '!M51</f>
        <v xml:space="preserve"> mcuevas@idep.edu.co</v>
      </c>
    </row>
    <row r="63" spans="1:17" ht="120" x14ac:dyDescent="0.25">
      <c r="A63" s="289">
        <f>+'Plan de Adquisiciones '!J52</f>
        <v>80111601</v>
      </c>
      <c r="B63" s="282" t="str">
        <f>+'Plan de Adquisiciones '!I52</f>
        <v>Prestación de servicios profesionales para el desarrollo, ajuste, monitoreo a la aplicación, análisis e interpretación de resultados de instrumentos cualitativos complementarios del estudio de elaboración y aplicación de un sistema de monitoreo al cumplimiento de los estándares de calidad en Educación Inicial, en el marco del Convenio 1452 de 2017 en su componente 3.</v>
      </c>
      <c r="C63" s="301"/>
      <c r="D63" s="301"/>
      <c r="E63" s="301">
        <f>+'Plan de Adquisiciones '!O52</f>
        <v>7</v>
      </c>
      <c r="F63" s="301">
        <v>1</v>
      </c>
      <c r="G63" s="282" t="s">
        <v>570</v>
      </c>
      <c r="H63" s="289"/>
      <c r="I63" s="302">
        <f>+'Plan de Adquisiciones '!T52</f>
        <v>46476171</v>
      </c>
      <c r="J63" s="302">
        <f>+'Plan de Adquisiciones '!T52</f>
        <v>46476171</v>
      </c>
      <c r="K63" s="298">
        <v>0</v>
      </c>
      <c r="L63" s="299">
        <v>0</v>
      </c>
      <c r="M63" s="282" t="s">
        <v>617</v>
      </c>
      <c r="N63" s="278" t="s">
        <v>613</v>
      </c>
      <c r="O63" s="281" t="str">
        <f>+'Plan de Adquisiciones '!K52</f>
        <v>Asesor 105-03</v>
      </c>
      <c r="P63" s="281">
        <v>2630603</v>
      </c>
      <c r="Q63" s="281" t="str">
        <f>+'Plan de Adquisiciones '!M52</f>
        <v xml:space="preserve"> mcuevas@idep.edu.co</v>
      </c>
    </row>
    <row r="64" spans="1:17" ht="105" x14ac:dyDescent="0.25">
      <c r="A64" s="289">
        <f>+'Plan de Adquisiciones '!J53</f>
        <v>80111601</v>
      </c>
      <c r="B64" s="282" t="str">
        <f>+'Plan de Adquisiciones '!I53</f>
        <v>Prestación de servicios profesionales para elaborar, implementar, evaluar y validar las estrategias operativa, comunicativa y de movilización social del estudio de elaboración y aplicación de un sistema de monitoreo al cumplimiento de los estándares de calidad en Educación Inicial, en el marco del Convenio 1452 de 2017 en su componente 3.</v>
      </c>
      <c r="C64" s="301">
        <v>4</v>
      </c>
      <c r="D64" s="301">
        <v>4</v>
      </c>
      <c r="E64" s="301">
        <f>+'Plan de Adquisiciones '!O53</f>
        <v>7</v>
      </c>
      <c r="F64" s="301">
        <v>1</v>
      </c>
      <c r="G64" s="282" t="s">
        <v>570</v>
      </c>
      <c r="H64" s="289"/>
      <c r="I64" s="302">
        <f>+'Plan de Adquisiciones '!T53</f>
        <v>46476171</v>
      </c>
      <c r="J64" s="302">
        <f>+'Plan de Adquisiciones '!T53</f>
        <v>46476171</v>
      </c>
      <c r="K64" s="298">
        <v>0</v>
      </c>
      <c r="L64" s="299">
        <v>0</v>
      </c>
      <c r="M64" s="282" t="s">
        <v>617</v>
      </c>
      <c r="N64" s="278" t="s">
        <v>613</v>
      </c>
      <c r="O64" s="281" t="str">
        <f>+'Plan de Adquisiciones '!K53</f>
        <v>Asesor 105-03</v>
      </c>
      <c r="P64" s="281">
        <v>2630603</v>
      </c>
      <c r="Q64" s="281" t="str">
        <f>+'Plan de Adquisiciones '!M53</f>
        <v xml:space="preserve"> mcuevas@idep.edu.co</v>
      </c>
    </row>
    <row r="65" spans="1:18" ht="105" x14ac:dyDescent="0.25">
      <c r="A65" s="289">
        <f>+'Plan de Adquisiciones '!J54</f>
        <v>80111601</v>
      </c>
      <c r="B65" s="282" t="str">
        <f>+'Plan de Adquisiciones '!I54</f>
        <v>Prestación de servicios profesionales para preparar, implementar y evaluar la estrategia de gestión de la información y del conocimiento del estudio de elaboración y aplicación de un sistema de monitoreo al cumplimiento de los estándares de calidad en Educación Inicial en el marco del Convenio 1452 del 17 de marzo de 2017 en su componente 3.</v>
      </c>
      <c r="C65" s="301">
        <v>4</v>
      </c>
      <c r="D65" s="301">
        <v>4</v>
      </c>
      <c r="E65" s="301">
        <f>+'Plan de Adquisiciones '!O54</f>
        <v>7</v>
      </c>
      <c r="F65" s="301">
        <v>1</v>
      </c>
      <c r="G65" s="282" t="s">
        <v>570</v>
      </c>
      <c r="H65" s="289"/>
      <c r="I65" s="302">
        <f>+'Plan de Adquisiciones '!T54</f>
        <v>46476171</v>
      </c>
      <c r="J65" s="302">
        <f>+'Plan de Adquisiciones '!T54</f>
        <v>46476171</v>
      </c>
      <c r="K65" s="298">
        <v>0</v>
      </c>
      <c r="L65" s="299">
        <v>0</v>
      </c>
      <c r="M65" s="282" t="s">
        <v>617</v>
      </c>
      <c r="N65" s="278" t="s">
        <v>613</v>
      </c>
      <c r="O65" s="281" t="str">
        <f>+'Plan de Adquisiciones '!K54</f>
        <v>Asesor 105-03</v>
      </c>
      <c r="P65" s="281">
        <v>2630603</v>
      </c>
      <c r="Q65" s="281" t="str">
        <f>+'Plan de Adquisiciones '!M54</f>
        <v xml:space="preserve"> mcuevas@idep.edu.co</v>
      </c>
    </row>
    <row r="66" spans="1:18" ht="90" x14ac:dyDescent="0.25">
      <c r="A66" s="289">
        <f>+'Plan de Adquisiciones '!J55</f>
        <v>80111601</v>
      </c>
      <c r="B66" s="282" t="str">
        <f>+'Plan de Adquisiciones '!I55</f>
        <v>Prestación de servicios profesionales para apoyar en la gestión administrativa del estudio de elaboración y aplicación de un sistema de monitoreo al cumplimiento de los estándares de calidad en Educación Inicial, en el marco del Convenio 1452 de 2017 en su componente 3</v>
      </c>
      <c r="C66" s="301">
        <v>4</v>
      </c>
      <c r="D66" s="301">
        <v>4</v>
      </c>
      <c r="E66" s="301">
        <f>+'Plan de Adquisiciones '!O55</f>
        <v>8</v>
      </c>
      <c r="F66" s="301">
        <v>1</v>
      </c>
      <c r="G66" s="282" t="s">
        <v>570</v>
      </c>
      <c r="H66" s="289"/>
      <c r="I66" s="302">
        <f>+'Plan de Adquisiciones '!T55</f>
        <v>28770963</v>
      </c>
      <c r="J66" s="302">
        <f>+'Plan de Adquisiciones '!T55</f>
        <v>28770963</v>
      </c>
      <c r="K66" s="298">
        <v>0</v>
      </c>
      <c r="L66" s="299">
        <v>0</v>
      </c>
      <c r="M66" s="282" t="s">
        <v>617</v>
      </c>
      <c r="N66" s="278" t="s">
        <v>613</v>
      </c>
      <c r="O66" s="281" t="str">
        <f>+'Plan de Adquisiciones '!K55</f>
        <v>Asesor 105-03</v>
      </c>
      <c r="P66" s="281">
        <v>2630603</v>
      </c>
      <c r="Q66" s="281" t="str">
        <f>+'Plan de Adquisiciones '!M55</f>
        <v xml:space="preserve"> mcuevas@idep.edu.co</v>
      </c>
    </row>
    <row r="67" spans="1:18" ht="105" x14ac:dyDescent="0.25">
      <c r="A67" s="289">
        <f>+'Plan de Adquisiciones '!J56</f>
        <v>80111601</v>
      </c>
      <c r="B67" s="282" t="str">
        <f>+'Plan de Adquisiciones '!I56</f>
        <v>Prestación de servicios profesionales para apoyar los procesos académicos relacionados con la indagación cualitativa y cuantitativa y la construcción de los planes de mejora de un sistema de monitoreo al cumplimiento de los estándares de calidad en Educación Inicial, en el marco del Convenio 1452 de 2017 en su componente 3.</v>
      </c>
      <c r="C67" s="301">
        <v>4</v>
      </c>
      <c r="D67" s="301">
        <v>4</v>
      </c>
      <c r="E67" s="301">
        <f>+'Plan de Adquisiciones '!O56</f>
        <v>6</v>
      </c>
      <c r="F67" s="301">
        <v>1</v>
      </c>
      <c r="G67" s="282" t="s">
        <v>570</v>
      </c>
      <c r="H67" s="289"/>
      <c r="I67" s="302">
        <f>+'Plan de Adquisiciones '!T56</f>
        <v>200000000</v>
      </c>
      <c r="J67" s="302">
        <f>+'Plan de Adquisiciones '!T56</f>
        <v>200000000</v>
      </c>
      <c r="K67" s="298">
        <v>0</v>
      </c>
      <c r="L67" s="299">
        <v>0</v>
      </c>
      <c r="M67" s="282" t="s">
        <v>617</v>
      </c>
      <c r="N67" s="278" t="s">
        <v>613</v>
      </c>
      <c r="O67" s="281" t="str">
        <f>+'Plan de Adquisiciones '!K56</f>
        <v>Asesor 105-03</v>
      </c>
      <c r="P67" s="281">
        <v>2630603</v>
      </c>
      <c r="Q67" s="281" t="str">
        <f>+'Plan de Adquisiciones '!M56</f>
        <v xml:space="preserve"> mcuevas@idep.edu.co</v>
      </c>
    </row>
    <row r="68" spans="1:18" ht="45" x14ac:dyDescent="0.25">
      <c r="A68" s="289">
        <f>+'Plan de Adquisiciones '!J60</f>
        <v>82111801</v>
      </c>
      <c r="B68" s="282" t="str">
        <f>+'Plan de Adquisiciones '!I60</f>
        <v>Prestación de servicios para realizar la edición, el diseño y la diagramación de la Revista Educación y Ciudad.</v>
      </c>
      <c r="C68" s="301">
        <v>3</v>
      </c>
      <c r="D68" s="301">
        <v>3</v>
      </c>
      <c r="E68" s="301">
        <f>+'Plan de Adquisiciones '!O60</f>
        <v>9</v>
      </c>
      <c r="F68" s="301">
        <v>1</v>
      </c>
      <c r="G68" s="282" t="s">
        <v>570</v>
      </c>
      <c r="H68" s="289"/>
      <c r="I68" s="302">
        <f>+'Plan de Adquisiciones '!T117+'Plan de Adquisiciones '!T60</f>
        <v>50300000</v>
      </c>
      <c r="J68" s="302">
        <f t="shared" ref="J68:J76" si="0">+I68</f>
        <v>50300000</v>
      </c>
      <c r="K68" s="298">
        <v>0</v>
      </c>
      <c r="L68" s="299">
        <v>0</v>
      </c>
      <c r="M68" s="282" t="s">
        <v>617</v>
      </c>
      <c r="N68" s="278" t="s">
        <v>613</v>
      </c>
      <c r="O68" s="281" t="str">
        <f>+'Plan de Adquisiciones '!K60</f>
        <v>Profesional 222-05</v>
      </c>
      <c r="P68" s="281">
        <v>2630603</v>
      </c>
      <c r="Q68" s="281" t="str">
        <f>+'Plan de Adquisiciones '!M60</f>
        <v xml:space="preserve"> dprada@idep.edu.co</v>
      </c>
    </row>
    <row r="69" spans="1:18" ht="45" x14ac:dyDescent="0.25">
      <c r="A69" s="289">
        <f>+'Plan de Adquisiciones '!J61</f>
        <v>82111801</v>
      </c>
      <c r="B69" s="282" t="str">
        <f>+'Plan de Adquisiciones '!I61</f>
        <v>Prestación de servicios profesionales para realizar la edición del magazín "Aula Urbana".</v>
      </c>
      <c r="C69" s="301">
        <v>2</v>
      </c>
      <c r="D69" s="301">
        <v>2</v>
      </c>
      <c r="E69" s="301">
        <f>+'Plan de Adquisiciones '!O61</f>
        <v>9</v>
      </c>
      <c r="F69" s="301">
        <v>1</v>
      </c>
      <c r="G69" s="282" t="s">
        <v>570</v>
      </c>
      <c r="H69" s="289"/>
      <c r="I69" s="302">
        <f>+'Plan de Adquisiciones '!T61+'Plan de Adquisiciones '!T118</f>
        <v>22071476</v>
      </c>
      <c r="J69" s="302">
        <f t="shared" si="0"/>
        <v>22071476</v>
      </c>
      <c r="K69" s="298">
        <v>0</v>
      </c>
      <c r="L69" s="299">
        <v>0</v>
      </c>
      <c r="M69" s="282" t="s">
        <v>617</v>
      </c>
      <c r="N69" s="278" t="s">
        <v>613</v>
      </c>
      <c r="O69" s="281" t="str">
        <f>+'Plan de Adquisiciones '!K61</f>
        <v>Profesional 222-05</v>
      </c>
      <c r="P69" s="281">
        <v>2630603</v>
      </c>
      <c r="Q69" s="281" t="str">
        <f>+'Plan de Adquisiciones '!M61</f>
        <v xml:space="preserve"> dprada@idep.edu.co</v>
      </c>
    </row>
    <row r="70" spans="1:18" ht="45" x14ac:dyDescent="0.25">
      <c r="A70" s="289">
        <f>+'Plan de Adquisiciones '!J62</f>
        <v>82111801</v>
      </c>
      <c r="B70" s="282" t="str">
        <f>+'Plan de Adquisiciones '!I62</f>
        <v>Prestación de servicios  para realizar el diseño y la diagramación del magazín "Aula Urbana".</v>
      </c>
      <c r="C70" s="301">
        <v>2</v>
      </c>
      <c r="D70" s="301">
        <v>2</v>
      </c>
      <c r="E70" s="301">
        <f>+'Plan de Adquisiciones '!O62</f>
        <v>10</v>
      </c>
      <c r="F70" s="301">
        <v>1</v>
      </c>
      <c r="G70" s="282" t="s">
        <v>570</v>
      </c>
      <c r="H70" s="289"/>
      <c r="I70" s="302">
        <f>+'Plan de Adquisiciones '!T62+'Plan de Adquisiciones '!T119</f>
        <v>15468524</v>
      </c>
      <c r="J70" s="302">
        <f t="shared" si="0"/>
        <v>15468524</v>
      </c>
      <c r="K70" s="298">
        <v>0</v>
      </c>
      <c r="L70" s="299">
        <v>0</v>
      </c>
      <c r="M70" s="282" t="s">
        <v>617</v>
      </c>
      <c r="N70" s="278" t="s">
        <v>613</v>
      </c>
      <c r="O70" s="281" t="str">
        <f>+'Plan de Adquisiciones '!K62</f>
        <v>Profesional 222-05</v>
      </c>
      <c r="P70" s="281">
        <v>2630603</v>
      </c>
      <c r="Q70" s="281" t="str">
        <f>+'Plan de Adquisiciones '!M62</f>
        <v xml:space="preserve"> dprada@idep.edu.co</v>
      </c>
    </row>
    <row r="71" spans="1:18" ht="45" x14ac:dyDescent="0.25">
      <c r="A71" s="289">
        <f>+'Plan de Adquisiciones '!J63</f>
        <v>82111801</v>
      </c>
      <c r="B71" s="282" t="str">
        <f>+'Plan de Adquisiciones '!I63</f>
        <v xml:space="preserve">Prestación de servicios para realizar la edición, el diseño y la diagramación de libros de la serie editorial del  IDEP. </v>
      </c>
      <c r="C71" s="301">
        <v>5</v>
      </c>
      <c r="D71" s="301">
        <v>5</v>
      </c>
      <c r="E71" s="301">
        <f>+'Plan de Adquisiciones '!O63</f>
        <v>7</v>
      </c>
      <c r="F71" s="301">
        <v>1</v>
      </c>
      <c r="G71" s="282" t="s">
        <v>570</v>
      </c>
      <c r="H71" s="289"/>
      <c r="I71" s="302">
        <f>+'Plan de Adquisiciones '!T63+'Plan de Adquisiciones '!T120</f>
        <v>42600000</v>
      </c>
      <c r="J71" s="302">
        <f t="shared" si="0"/>
        <v>42600000</v>
      </c>
      <c r="K71" s="298">
        <v>0</v>
      </c>
      <c r="L71" s="299">
        <v>0</v>
      </c>
      <c r="M71" s="282" t="s">
        <v>617</v>
      </c>
      <c r="N71" s="278" t="s">
        <v>613</v>
      </c>
      <c r="O71" s="281" t="str">
        <f>+'Plan de Adquisiciones '!K63</f>
        <v>Profesional 222-05</v>
      </c>
      <c r="P71" s="281">
        <v>2630603</v>
      </c>
      <c r="Q71" s="281" t="str">
        <f>+'Plan de Adquisiciones '!M63</f>
        <v xml:space="preserve"> dprada@idep.edu.co</v>
      </c>
    </row>
    <row r="72" spans="1:18" ht="45" x14ac:dyDescent="0.25">
      <c r="A72" s="289">
        <f>+'Plan de Adquisiciones '!J64</f>
        <v>82111801</v>
      </c>
      <c r="B72" s="282" t="str">
        <f>+'Plan de Adquisiciones '!I64</f>
        <v>Prestación de servicios para la impresión de publicaciones del Instituto para la Investigación Educativa y el Desarrollo Pedagógico, IDEP</v>
      </c>
      <c r="C72" s="301">
        <v>3</v>
      </c>
      <c r="D72" s="301">
        <v>5</v>
      </c>
      <c r="E72" s="301">
        <f>+'Plan de Adquisiciones '!O64</f>
        <v>9</v>
      </c>
      <c r="F72" s="301">
        <v>1</v>
      </c>
      <c r="G72" s="289" t="s">
        <v>576</v>
      </c>
      <c r="H72" s="289">
        <v>0</v>
      </c>
      <c r="I72" s="302">
        <f>+'Plan de Adquisiciones '!T64+'Plan de Adquisiciones '!T121</f>
        <v>52310500</v>
      </c>
      <c r="J72" s="302">
        <f t="shared" si="0"/>
        <v>52310500</v>
      </c>
      <c r="K72" s="298">
        <v>0</v>
      </c>
      <c r="L72" s="299">
        <v>0</v>
      </c>
      <c r="M72" s="282" t="s">
        <v>617</v>
      </c>
      <c r="N72" s="278" t="s">
        <v>613</v>
      </c>
      <c r="O72" s="281" t="str">
        <f>+'Plan de Adquisiciones '!K64</f>
        <v>Profesional 222-05</v>
      </c>
      <c r="P72" s="281">
        <v>2630603</v>
      </c>
      <c r="Q72" s="281" t="str">
        <f>+'Plan de Adquisiciones '!M64</f>
        <v xml:space="preserve"> dprada@idep.edu.co</v>
      </c>
    </row>
    <row r="73" spans="1:18" ht="60" x14ac:dyDescent="0.25">
      <c r="A73" s="290">
        <f>+'Plan de Adquisiciones '!J65</f>
        <v>0</v>
      </c>
      <c r="B73" s="288" t="str">
        <f>+'Plan de Adquisiciones '!I65</f>
        <v>Prestación de servicios para efectuar la suscripción para el uso de sevicios y licencias para el fortalecimiento de las actividades de comunicación, socialización y divulgación del IDEP</v>
      </c>
      <c r="C73" s="292">
        <v>10</v>
      </c>
      <c r="D73" s="292">
        <v>10</v>
      </c>
      <c r="E73" s="292">
        <v>2</v>
      </c>
      <c r="F73" s="292">
        <v>1</v>
      </c>
      <c r="G73" s="288" t="s">
        <v>570</v>
      </c>
      <c r="H73" s="290"/>
      <c r="I73" s="293">
        <f>+'Plan de Adquisiciones '!R65+'Plan de Adquisiciones '!R72+'Plan de Adquisiciones '!R122</f>
        <v>11476790</v>
      </c>
      <c r="J73" s="293">
        <f t="shared" si="0"/>
        <v>11476790</v>
      </c>
      <c r="K73" s="291">
        <v>0</v>
      </c>
      <c r="L73" s="307">
        <v>0</v>
      </c>
      <c r="M73" s="288" t="s">
        <v>617</v>
      </c>
      <c r="N73" s="290" t="s">
        <v>697</v>
      </c>
      <c r="O73" s="288" t="str">
        <f>+'Plan de Adquisiciones '!K65</f>
        <v>Subdirector Académico</v>
      </c>
      <c r="P73" s="288">
        <v>2630604</v>
      </c>
      <c r="Q73" s="288" t="str">
        <f>+'Plan de Adquisiciones '!M65</f>
        <v xml:space="preserve">  jgutierrezs@idep.edu.co</v>
      </c>
      <c r="R73" s="363"/>
    </row>
    <row r="74" spans="1:18" ht="45" x14ac:dyDescent="0.25">
      <c r="A74" s="289">
        <f>+'Plan de Adquisiciones '!J67</f>
        <v>82141504</v>
      </c>
      <c r="B74" s="282" t="str">
        <f>+'Plan de Adquisiciones '!I67</f>
        <v xml:space="preserve">Prestación de servicios profesionales para realizar el diseño y diagramación de piezas gráficas (impresas, audioviduales y digitales) del IDEP. </v>
      </c>
      <c r="C74" s="301">
        <v>2</v>
      </c>
      <c r="D74" s="301">
        <v>2</v>
      </c>
      <c r="E74" s="301">
        <f>+'Plan de Adquisiciones '!O67</f>
        <v>10</v>
      </c>
      <c r="F74" s="301">
        <v>1</v>
      </c>
      <c r="G74" s="282" t="s">
        <v>570</v>
      </c>
      <c r="H74" s="289">
        <v>0</v>
      </c>
      <c r="I74" s="293">
        <f>+'Plan de Adquisiciones '!T67+'Plan de Adquisiciones '!T124</f>
        <v>40678981</v>
      </c>
      <c r="J74" s="293">
        <f t="shared" si="0"/>
        <v>40678981</v>
      </c>
      <c r="K74" s="298">
        <v>0</v>
      </c>
      <c r="L74" s="299">
        <v>0</v>
      </c>
      <c r="M74" s="282" t="s">
        <v>617</v>
      </c>
      <c r="N74" s="278" t="s">
        <v>613</v>
      </c>
      <c r="O74" s="281" t="str">
        <f>+'Plan de Adquisiciones '!K67</f>
        <v>Subdirector Académico</v>
      </c>
      <c r="P74" s="281">
        <v>2630603</v>
      </c>
      <c r="Q74" s="281" t="str">
        <f>+'Plan de Adquisiciones '!M67</f>
        <v xml:space="preserve">  jgutierrezs@idep.edu.co</v>
      </c>
    </row>
    <row r="75" spans="1:18" ht="45" x14ac:dyDescent="0.25">
      <c r="A75" s="289">
        <f>+'Plan de Adquisiciones '!J68</f>
        <v>80111621</v>
      </c>
      <c r="B75" s="282" t="str">
        <f>+'Plan de Adquisiciones '!I68</f>
        <v>Prestación de servicios profesionales para apoyar la socialización académica e institucional y el seguimiento de la misma.</v>
      </c>
      <c r="C75" s="301">
        <v>3</v>
      </c>
      <c r="D75" s="301">
        <v>3</v>
      </c>
      <c r="E75" s="301">
        <f>+'Plan de Adquisiciones '!O68</f>
        <v>10</v>
      </c>
      <c r="F75" s="301">
        <v>1</v>
      </c>
      <c r="G75" s="282" t="s">
        <v>570</v>
      </c>
      <c r="H75" s="289">
        <v>0</v>
      </c>
      <c r="I75" s="293">
        <f>+'Plan de Adquisiciones '!T68+'Plan de Adquisiciones '!T125</f>
        <v>58212989</v>
      </c>
      <c r="J75" s="293">
        <f t="shared" si="0"/>
        <v>58212989</v>
      </c>
      <c r="K75" s="298">
        <v>0</v>
      </c>
      <c r="L75" s="299">
        <v>0</v>
      </c>
      <c r="M75" s="282" t="s">
        <v>617</v>
      </c>
      <c r="N75" s="278" t="s">
        <v>613</v>
      </c>
      <c r="O75" s="281" t="str">
        <f>+'Plan de Adquisiciones '!K68</f>
        <v>Asesor 105-03</v>
      </c>
      <c r="P75" s="281">
        <v>2630603</v>
      </c>
      <c r="Q75" s="281" t="str">
        <f>+'Plan de Adquisiciones '!M68</f>
        <v xml:space="preserve"> mcuevas@idep.edu.co</v>
      </c>
    </row>
    <row r="76" spans="1:18" ht="45" x14ac:dyDescent="0.25">
      <c r="A76" s="289">
        <f>+'Plan de Adquisiciones '!J73</f>
        <v>81112103</v>
      </c>
      <c r="B76" s="282" t="str">
        <f>+'Plan de Adquisiciones '!I73</f>
        <v>Prestación de servicios profesionales para dar soporte a página web del IDEP y a la infraestructura tecnológica del instituto</v>
      </c>
      <c r="C76" s="301">
        <v>3</v>
      </c>
      <c r="D76" s="301">
        <v>3</v>
      </c>
      <c r="E76" s="301">
        <f>+'Plan de Adquisiciones '!O73</f>
        <v>10</v>
      </c>
      <c r="F76" s="301">
        <v>1</v>
      </c>
      <c r="G76" s="282" t="s">
        <v>570</v>
      </c>
      <c r="H76" s="289">
        <v>0</v>
      </c>
      <c r="I76" s="293">
        <f>+'Plan de Adquisiciones '!T73+'Plan de Adquisiciones '!T128</f>
        <v>49523088</v>
      </c>
      <c r="J76" s="293">
        <f t="shared" si="0"/>
        <v>49523088</v>
      </c>
      <c r="K76" s="298">
        <v>0</v>
      </c>
      <c r="L76" s="299">
        <v>0</v>
      </c>
      <c r="M76" s="282" t="s">
        <v>617</v>
      </c>
      <c r="N76" s="278" t="s">
        <v>613</v>
      </c>
      <c r="O76" s="281" t="str">
        <f>+'Plan de Adquisiciones '!K73</f>
        <v>Subdirector Académico</v>
      </c>
      <c r="P76" s="281">
        <v>2630603</v>
      </c>
      <c r="Q76" s="281" t="str">
        <f>+'Plan de Adquisiciones '!M73</f>
        <v xml:space="preserve">  jgutierrezs@idep.edu.co</v>
      </c>
    </row>
    <row r="77" spans="1:18" ht="45" x14ac:dyDescent="0.25">
      <c r="A77" s="289">
        <f>+'Plan de Adquisiciones '!J74</f>
        <v>83121702</v>
      </c>
      <c r="B77" s="282" t="str">
        <f>+'Plan de Adquisiciones '!I74</f>
        <v>Prestación de servicios profesionales para la construcción de contenidos y efectuar las actividades de actualización de la página web del IDEP</v>
      </c>
      <c r="C77" s="301">
        <v>3</v>
      </c>
      <c r="D77" s="301">
        <v>3</v>
      </c>
      <c r="E77" s="301">
        <f>+'Plan de Adquisiciones '!O74</f>
        <v>2</v>
      </c>
      <c r="F77" s="301">
        <v>1</v>
      </c>
      <c r="G77" s="282" t="s">
        <v>570</v>
      </c>
      <c r="H77" s="289">
        <v>0</v>
      </c>
      <c r="I77" s="293">
        <f>+'Plan de Adquisiciones '!T74</f>
        <v>8825010</v>
      </c>
      <c r="J77" s="293">
        <f>+'Plan de Adquisiciones '!T74</f>
        <v>8825010</v>
      </c>
      <c r="K77" s="298">
        <v>0</v>
      </c>
      <c r="L77" s="299">
        <v>0</v>
      </c>
      <c r="M77" s="282" t="s">
        <v>617</v>
      </c>
      <c r="N77" s="278" t="s">
        <v>613</v>
      </c>
      <c r="O77" s="281" t="str">
        <f>+'Plan de Adquisiciones '!K74</f>
        <v>Profesional 222-05</v>
      </c>
      <c r="P77" s="281">
        <v>2630603</v>
      </c>
      <c r="Q77" s="281" t="str">
        <f>+'Plan de Adquisiciones '!M74</f>
        <v xml:space="preserve">  jgutierrezs@idep.edu.co</v>
      </c>
    </row>
    <row r="78" spans="1:18" ht="135" x14ac:dyDescent="0.25">
      <c r="A78" s="303">
        <f>+'Plan de Adquisiciones '!J75</f>
        <v>80111621</v>
      </c>
      <c r="B78" s="304" t="str">
        <f>+'Plan de Adquisiciones '!I75</f>
        <v>Prestar servicios para difundir en televisión nacional abierta por medio de la serie “francisco el matemático”, las estrategias y campañas del distrito capital para la promoción de valores cívicos, competencias ciudadanas y autocuidado, que contribuyen al mejoramiento de la calidad de vida de la comunidad educativa del distrito y la ciudadanía en general, en el marco del plan de desarrollo “bogotá mejor para todos”</v>
      </c>
      <c r="C78" s="305">
        <v>2</v>
      </c>
      <c r="D78" s="305">
        <v>2</v>
      </c>
      <c r="E78" s="305">
        <f>+'Plan de Adquisiciones '!O75</f>
        <v>10</v>
      </c>
      <c r="F78" s="305">
        <v>1</v>
      </c>
      <c r="G78" s="304" t="s">
        <v>570</v>
      </c>
      <c r="H78" s="303">
        <v>0</v>
      </c>
      <c r="I78" s="295">
        <f>+'Plan de Adquisiciones '!T75+'Plan de Adquisiciones '!T129</f>
        <v>300000000</v>
      </c>
      <c r="J78" s="295">
        <f>+I78</f>
        <v>300000000</v>
      </c>
      <c r="K78" s="306">
        <v>0</v>
      </c>
      <c r="L78" s="299">
        <v>0</v>
      </c>
      <c r="M78" s="282" t="s">
        <v>617</v>
      </c>
      <c r="N78" s="278" t="s">
        <v>613</v>
      </c>
      <c r="O78" s="281" t="str">
        <f>+'Plan de Adquisiciones '!K75</f>
        <v>Subdirector Académico</v>
      </c>
      <c r="P78" s="281">
        <v>2630603</v>
      </c>
      <c r="Q78" s="281" t="str">
        <f>+'Plan de Adquisiciones '!M75</f>
        <v xml:space="preserve">  jgutierrezs@idep.edu.co</v>
      </c>
    </row>
    <row r="79" spans="1:18" ht="75" x14ac:dyDescent="0.25">
      <c r="A79" s="289">
        <f>+'Plan de Adquisiciones '!J81</f>
        <v>80111621</v>
      </c>
      <c r="B79" s="282" t="str">
        <f>+'Plan de Adquisiciones '!I81</f>
        <v>Prestación de servicios profesionales para realizar la conceptualización, caracterización y diseño metodológico del componente Cualificación, investigación e innovación docente: comunidades de saber y de práctica pedagógica</v>
      </c>
      <c r="C79" s="301">
        <v>3</v>
      </c>
      <c r="D79" s="301">
        <v>3</v>
      </c>
      <c r="E79" s="301">
        <f>+'Plan de Adquisiciones '!O81</f>
        <v>6</v>
      </c>
      <c r="F79" s="301">
        <v>1</v>
      </c>
      <c r="G79" s="282" t="s">
        <v>570</v>
      </c>
      <c r="H79" s="289">
        <v>0</v>
      </c>
      <c r="I79" s="302">
        <f>+'Plan de Adquisiciones '!T81</f>
        <v>48689322</v>
      </c>
      <c r="J79" s="302">
        <f>+'Plan de Adquisiciones '!T81</f>
        <v>48689322</v>
      </c>
      <c r="K79" s="298">
        <v>0</v>
      </c>
      <c r="L79" s="299">
        <v>0</v>
      </c>
      <c r="M79" s="282" t="s">
        <v>617</v>
      </c>
      <c r="N79" s="278" t="s">
        <v>613</v>
      </c>
      <c r="O79" s="281" t="str">
        <f>+'Plan de Adquisiciones '!K81</f>
        <v xml:space="preserve">Asesor 105-02 </v>
      </c>
      <c r="P79" s="281">
        <v>2630603</v>
      </c>
      <c r="Q79" s="281" t="str">
        <f>+'Plan de Adquisiciones '!M81</f>
        <v xml:space="preserve"> eortiz@idep.edu.co</v>
      </c>
    </row>
    <row r="80" spans="1:18" ht="45" x14ac:dyDescent="0.25">
      <c r="A80" s="289">
        <f>+'Plan de Adquisiciones '!J84</f>
        <v>80111621</v>
      </c>
      <c r="B80" s="282" t="str">
        <f>+'Plan de Adquisiciones '!I84</f>
        <v xml:space="preserve">Prestación de servicios profesionales para orientar el acompañamiento  a iniciativas de proyectos pedagógicos: Nivel I </v>
      </c>
      <c r="C80" s="301">
        <v>2</v>
      </c>
      <c r="D80" s="301">
        <v>2</v>
      </c>
      <c r="E80" s="301">
        <f>+'Plan de Adquisiciones '!O84</f>
        <v>9</v>
      </c>
      <c r="F80" s="301">
        <v>1</v>
      </c>
      <c r="G80" s="282" t="s">
        <v>570</v>
      </c>
      <c r="H80" s="289">
        <v>0</v>
      </c>
      <c r="I80" s="302">
        <f>+'Plan de Adquisiciones '!T84</f>
        <v>59755077</v>
      </c>
      <c r="J80" s="302">
        <f>+'Plan de Adquisiciones '!T84</f>
        <v>59755077</v>
      </c>
      <c r="K80" s="298">
        <v>0</v>
      </c>
      <c r="L80" s="299">
        <v>0</v>
      </c>
      <c r="M80" s="282" t="s">
        <v>617</v>
      </c>
      <c r="N80" s="278" t="s">
        <v>613</v>
      </c>
      <c r="O80" s="281" t="str">
        <f>+'Plan de Adquisiciones '!K84</f>
        <v>Profesional 222-06</v>
      </c>
      <c r="P80" s="281">
        <v>2630603</v>
      </c>
      <c r="Q80" s="281" t="str">
        <f>+'Plan de Adquisiciones '!M84</f>
        <v xml:space="preserve"> lacuña@idep.edu.co</v>
      </c>
    </row>
    <row r="81" spans="1:17" ht="45" x14ac:dyDescent="0.25">
      <c r="A81" s="289">
        <f>+'Plan de Adquisiciones '!J85</f>
        <v>80111621</v>
      </c>
      <c r="B81" s="282" t="str">
        <f>+'Plan de Adquisiciones '!I85</f>
        <v>Prestación de servicios profesionales para orientar el acompañamiento  a experiencias pedagógicas en desarrollo: Nivel II</v>
      </c>
      <c r="C81" s="301">
        <v>2</v>
      </c>
      <c r="D81" s="301">
        <v>2</v>
      </c>
      <c r="E81" s="301">
        <f>+'Plan de Adquisiciones '!O85</f>
        <v>9</v>
      </c>
      <c r="F81" s="301">
        <v>1</v>
      </c>
      <c r="G81" s="282" t="s">
        <v>570</v>
      </c>
      <c r="H81" s="289">
        <v>0</v>
      </c>
      <c r="I81" s="302">
        <f>+'Plan de Adquisiciones '!T85</f>
        <v>59755077</v>
      </c>
      <c r="J81" s="302">
        <f>+'Plan de Adquisiciones '!T85</f>
        <v>59755077</v>
      </c>
      <c r="K81" s="298">
        <v>0</v>
      </c>
      <c r="L81" s="299">
        <v>0</v>
      </c>
      <c r="M81" s="282" t="s">
        <v>617</v>
      </c>
      <c r="N81" s="278" t="s">
        <v>613</v>
      </c>
      <c r="O81" s="281" t="str">
        <f>+'Plan de Adquisiciones '!K85</f>
        <v>Profesional 222-06</v>
      </c>
      <c r="P81" s="281">
        <v>2630603</v>
      </c>
      <c r="Q81" s="281" t="str">
        <f>+'Plan de Adquisiciones '!M85</f>
        <v xml:space="preserve"> lacuña@idep.edu.co</v>
      </c>
    </row>
    <row r="82" spans="1:17" ht="45" x14ac:dyDescent="0.25">
      <c r="A82" s="289">
        <f>+'Plan de Adquisiciones '!J86</f>
        <v>80111621</v>
      </c>
      <c r="B82" s="282" t="str">
        <f>+'Plan de Adquisiciones '!I86</f>
        <v>Prestación de servicios profesionales para orientar el acompañamiento  a la sistematización de experiencias pedagógicas significativas: Nivel III</v>
      </c>
      <c r="C82" s="301">
        <v>2</v>
      </c>
      <c r="D82" s="301">
        <v>2</v>
      </c>
      <c r="E82" s="301">
        <f>+'Plan de Adquisiciones '!O86</f>
        <v>9</v>
      </c>
      <c r="F82" s="301">
        <v>1</v>
      </c>
      <c r="G82" s="282" t="s">
        <v>570</v>
      </c>
      <c r="H82" s="289">
        <v>0</v>
      </c>
      <c r="I82" s="302">
        <f>+'Plan de Adquisiciones '!T86</f>
        <v>59755077</v>
      </c>
      <c r="J82" s="302">
        <f>+'Plan de Adquisiciones '!T86</f>
        <v>59755077</v>
      </c>
      <c r="K82" s="298">
        <v>0</v>
      </c>
      <c r="L82" s="299">
        <v>0</v>
      </c>
      <c r="M82" s="282" t="s">
        <v>617</v>
      </c>
      <c r="N82" s="278" t="s">
        <v>613</v>
      </c>
      <c r="O82" s="281" t="str">
        <f>+'Plan de Adquisiciones '!K86</f>
        <v>Profesional 222-06</v>
      </c>
      <c r="P82" s="281">
        <v>2630603</v>
      </c>
      <c r="Q82" s="281" t="str">
        <f>+'Plan de Adquisiciones '!M86</f>
        <v xml:space="preserve"> lacuña@idep.edu.co</v>
      </c>
    </row>
    <row r="83" spans="1:17" ht="60" x14ac:dyDescent="0.25">
      <c r="A83" s="289">
        <f>+'Plan de Adquisiciones '!J87</f>
        <v>80111621</v>
      </c>
      <c r="B83" s="282" t="str">
        <f>+'Plan de Adquisiciones '!I87</f>
        <v>Aunar esfuerzos para realizar procesos de cualificación en los tres niveles de acompañamiento a docentes y reconocimiento en territorio de experiencias pedagógicas significativas</v>
      </c>
      <c r="C83" s="301">
        <v>5</v>
      </c>
      <c r="D83" s="301">
        <v>5</v>
      </c>
      <c r="E83" s="301">
        <f>+'Plan de Adquisiciones '!O87</f>
        <v>7</v>
      </c>
      <c r="F83" s="301">
        <v>1</v>
      </c>
      <c r="G83" s="282" t="s">
        <v>570</v>
      </c>
      <c r="H83" s="289">
        <v>0</v>
      </c>
      <c r="I83" s="302">
        <f>+'Plan de Adquisiciones '!T87</f>
        <v>200000000</v>
      </c>
      <c r="J83" s="302">
        <f>+'Plan de Adquisiciones '!T87</f>
        <v>200000000</v>
      </c>
      <c r="K83" s="298">
        <v>0</v>
      </c>
      <c r="L83" s="299">
        <v>0</v>
      </c>
      <c r="M83" s="282" t="s">
        <v>617</v>
      </c>
      <c r="N83" s="278" t="s">
        <v>613</v>
      </c>
      <c r="O83" s="281" t="str">
        <f>+'Plan de Adquisiciones '!K87</f>
        <v>Profesional 222-06</v>
      </c>
      <c r="P83" s="281">
        <v>2630603</v>
      </c>
      <c r="Q83" s="281" t="str">
        <f>+'Plan de Adquisiciones '!M87</f>
        <v xml:space="preserve"> lacuña@idep.edu.co</v>
      </c>
    </row>
    <row r="84" spans="1:17" ht="60" x14ac:dyDescent="0.25">
      <c r="A84" s="289">
        <f>+'Plan de Adquisiciones '!J88</f>
        <v>80111601</v>
      </c>
      <c r="B84" s="282" t="str">
        <f>+'Plan de Adquisiciones '!I88</f>
        <v>Prestación de servicios profesionales para realizar el apoyo administrativo del componente cualificación, investigación e innovación docente: comunidades de saber y práctica pedagógica</v>
      </c>
      <c r="C84" s="301">
        <v>4</v>
      </c>
      <c r="D84" s="301">
        <v>4</v>
      </c>
      <c r="E84" s="301">
        <f>+'Plan de Adquisiciones '!O88</f>
        <v>7</v>
      </c>
      <c r="F84" s="301">
        <v>1</v>
      </c>
      <c r="G84" s="282" t="s">
        <v>570</v>
      </c>
      <c r="H84" s="289">
        <v>0</v>
      </c>
      <c r="I84" s="302">
        <f>+'Plan de Adquisiciones '!T88</f>
        <v>40574435</v>
      </c>
      <c r="J84" s="302">
        <f>+'Plan de Adquisiciones '!T88</f>
        <v>40574435</v>
      </c>
      <c r="K84" s="298">
        <v>0</v>
      </c>
      <c r="L84" s="299">
        <v>0</v>
      </c>
      <c r="M84" s="282" t="s">
        <v>617</v>
      </c>
      <c r="N84" s="278" t="s">
        <v>613</v>
      </c>
      <c r="O84" s="281" t="str">
        <f>+'Plan de Adquisiciones '!K88</f>
        <v xml:space="preserve">Asesor 105-02 </v>
      </c>
      <c r="P84" s="281">
        <v>2630603</v>
      </c>
      <c r="Q84" s="281" t="str">
        <f>+'Plan de Adquisiciones '!M88</f>
        <v xml:space="preserve"> eortiz@idep.edu.co</v>
      </c>
    </row>
    <row r="85" spans="1:17" ht="75" x14ac:dyDescent="0.25">
      <c r="A85" s="289">
        <f>+'Plan de Adquisiciones '!J89</f>
        <v>80111621</v>
      </c>
      <c r="B85" s="282" t="str">
        <f>+'Plan de Adquisiciones '!I89</f>
        <v>Prestación de servicios profesionales para orientar conceptual y metodológicamente la caracterización y consolidación  de experiencias pedagógicas en las localidades del Distrito Capital, en el marco del Convenio 1452 de 2017 en su componente 4.</v>
      </c>
      <c r="C85" s="301">
        <v>4</v>
      </c>
      <c r="D85" s="301">
        <v>4</v>
      </c>
      <c r="E85" s="301">
        <f>+'Plan de Adquisiciones '!O89</f>
        <v>8</v>
      </c>
      <c r="F85" s="301">
        <v>1</v>
      </c>
      <c r="G85" s="282" t="s">
        <v>570</v>
      </c>
      <c r="H85" s="289">
        <v>0</v>
      </c>
      <c r="I85" s="302">
        <f>+'Plan de Adquisiciones '!T89</f>
        <v>73033983</v>
      </c>
      <c r="J85" s="302">
        <f>+'Plan de Adquisiciones '!T89</f>
        <v>73033983</v>
      </c>
      <c r="K85" s="298">
        <v>0</v>
      </c>
      <c r="L85" s="299">
        <v>0</v>
      </c>
      <c r="M85" s="282" t="s">
        <v>617</v>
      </c>
      <c r="N85" s="278" t="s">
        <v>613</v>
      </c>
      <c r="O85" s="281" t="str">
        <f>+'Plan de Adquisiciones '!K89</f>
        <v>Profesional Universitario 219-01</v>
      </c>
      <c r="P85" s="281">
        <v>2630603</v>
      </c>
      <c r="Q85" s="281" t="str">
        <f>+'Plan de Adquisiciones '!M89</f>
        <v>abustamante@idep.edu.co</v>
      </c>
    </row>
    <row r="86" spans="1:17" ht="75" x14ac:dyDescent="0.25">
      <c r="A86" s="289">
        <f>+'Plan de Adquisiciones '!J90</f>
        <v>80111621</v>
      </c>
      <c r="B86" s="282" t="str">
        <f>+'Plan de Adquisiciones '!I90</f>
        <v>Prestación de servicios profesionales para la implementación de la estrategia de educomunicación de las actividades realizadas por el IDEP en el marco de convenio 1452 de 2017 con el uso  y desarrollo de las Tecnologías de la Información y Comunicación, TIC.</v>
      </c>
      <c r="C86" s="301">
        <v>4</v>
      </c>
      <c r="D86" s="301">
        <v>4</v>
      </c>
      <c r="E86" s="301">
        <f>+'Plan de Adquisiciones '!O90</f>
        <v>8</v>
      </c>
      <c r="F86" s="301">
        <v>1</v>
      </c>
      <c r="G86" s="282" t="s">
        <v>570</v>
      </c>
      <c r="H86" s="289">
        <v>0</v>
      </c>
      <c r="I86" s="302">
        <f>+'Plan de Adquisiciones '!T90</f>
        <v>54319394</v>
      </c>
      <c r="J86" s="302">
        <f>+'Plan de Adquisiciones '!T90</f>
        <v>54319394</v>
      </c>
      <c r="K86" s="298">
        <v>0</v>
      </c>
      <c r="L86" s="299">
        <v>0</v>
      </c>
      <c r="M86" s="282" t="s">
        <v>617</v>
      </c>
      <c r="N86" s="278" t="s">
        <v>613</v>
      </c>
      <c r="O86" s="281" t="str">
        <f>+'Plan de Adquisiciones '!K90</f>
        <v>Subdirector Académico</v>
      </c>
      <c r="P86" s="281">
        <v>2630603</v>
      </c>
      <c r="Q86" s="281" t="str">
        <f>+'Plan de Adquisiciones '!M90</f>
        <v xml:space="preserve">  jgutierrezs@idep.edu.co</v>
      </c>
    </row>
    <row r="87" spans="1:17" ht="105" x14ac:dyDescent="0.25">
      <c r="A87" s="289">
        <f>+'Plan de Adquisiciones '!J91</f>
        <v>80111621</v>
      </c>
      <c r="B87" s="282" t="str">
        <f>+'Plan de Adquisiciones '!I91</f>
        <v xml:space="preserve">Prestación de servicios profesionales para realizar acciones de comunicación en los canales y medios institucionales, difusión externa, prensa y manejo de relaciones con medios de comunicación para la divulgación y socialización de las actividades realizadas por el IDEP en el marco del Convenio 1452 de 2017. </v>
      </c>
      <c r="C87" s="301">
        <v>5</v>
      </c>
      <c r="D87" s="301">
        <v>5</v>
      </c>
      <c r="E87" s="301">
        <f>+'Plan de Adquisiciones '!O91</f>
        <v>7</v>
      </c>
      <c r="F87" s="301">
        <v>1</v>
      </c>
      <c r="G87" s="282" t="s">
        <v>570</v>
      </c>
      <c r="H87" s="289">
        <v>0</v>
      </c>
      <c r="I87" s="302">
        <f>+'Plan de Adquisiciones '!T91</f>
        <v>35300040</v>
      </c>
      <c r="J87" s="302">
        <f>+'Plan de Adquisiciones '!T91</f>
        <v>35300040</v>
      </c>
      <c r="K87" s="298">
        <v>0</v>
      </c>
      <c r="L87" s="299">
        <v>0</v>
      </c>
      <c r="M87" s="282" t="s">
        <v>617</v>
      </c>
      <c r="N87" s="278" t="s">
        <v>613</v>
      </c>
      <c r="O87" s="281" t="str">
        <f>+'Plan de Adquisiciones '!K91</f>
        <v>Subdirector Académico</v>
      </c>
      <c r="P87" s="281">
        <v>2630603</v>
      </c>
      <c r="Q87" s="281" t="str">
        <f>+'Plan de Adquisiciones '!M91</f>
        <v xml:space="preserve"> jgutierrezs@idep.edu.co</v>
      </c>
    </row>
    <row r="88" spans="1:17" ht="75" x14ac:dyDescent="0.25">
      <c r="A88" s="289">
        <f>+'Plan de Adquisiciones '!J92</f>
        <v>80111621</v>
      </c>
      <c r="B88" s="282" t="str">
        <f>+'Plan de Adquisiciones '!I92</f>
        <v>Prestación de servicios profesionales para realizar la caracterización y consolidación  de experiencias pedagógicas en las localidades 4, 5, 6, 19, 20 del Distrito Capital, en el marco del Convenio 1452 de 2017 en su componente 4.</v>
      </c>
      <c r="C88" s="301">
        <v>4</v>
      </c>
      <c r="D88" s="301">
        <v>4</v>
      </c>
      <c r="E88" s="301">
        <f>+'Plan de Adquisiciones '!O92</f>
        <v>7</v>
      </c>
      <c r="F88" s="301">
        <v>1</v>
      </c>
      <c r="G88" s="282" t="s">
        <v>570</v>
      </c>
      <c r="H88" s="289">
        <v>0</v>
      </c>
      <c r="I88" s="302">
        <f>+'Plan de Adquisiciones '!T92</f>
        <v>46476171</v>
      </c>
      <c r="J88" s="302">
        <f>+'Plan de Adquisiciones '!T92</f>
        <v>46476171</v>
      </c>
      <c r="K88" s="298">
        <v>0</v>
      </c>
      <c r="L88" s="299">
        <v>0</v>
      </c>
      <c r="M88" s="282" t="s">
        <v>617</v>
      </c>
      <c r="N88" s="278" t="s">
        <v>613</v>
      </c>
      <c r="O88" s="281" t="str">
        <f>+'Plan de Adquisiciones '!K92</f>
        <v>Profesional Universitario 219-01</v>
      </c>
      <c r="P88" s="281">
        <v>2630603</v>
      </c>
      <c r="Q88" s="281" t="str">
        <f>+'Plan de Adquisiciones '!M92</f>
        <v xml:space="preserve"> abustamante@idep.edu.co</v>
      </c>
    </row>
    <row r="89" spans="1:17" ht="75" x14ac:dyDescent="0.25">
      <c r="A89" s="289">
        <f>+'Plan de Adquisiciones '!J93</f>
        <v>80111621</v>
      </c>
      <c r="B89" s="282" t="str">
        <f>+'Plan de Adquisiciones '!I93</f>
        <v>Prestación de servicios profesionales para realizar la caracterización y consolidación  de experiencias pedagógicas en las localidades  1, 2, 3, 10, 11, 12, 13, 16, 17 del Distrito Capital, en el marco del Convenio 1452 de 2017 en su componente 4.</v>
      </c>
      <c r="C89" s="301">
        <v>4</v>
      </c>
      <c r="D89" s="301">
        <v>4</v>
      </c>
      <c r="E89" s="301">
        <f>+'Plan de Adquisiciones '!O93</f>
        <v>7</v>
      </c>
      <c r="F89" s="301">
        <v>1</v>
      </c>
      <c r="G89" s="282" t="s">
        <v>570</v>
      </c>
      <c r="H89" s="289">
        <v>0</v>
      </c>
      <c r="I89" s="302">
        <f>+'Plan de Adquisiciones '!T93</f>
        <v>46476171</v>
      </c>
      <c r="J89" s="302">
        <f>+'Plan de Adquisiciones '!T93</f>
        <v>46476171</v>
      </c>
      <c r="K89" s="298">
        <v>0</v>
      </c>
      <c r="L89" s="299">
        <v>0</v>
      </c>
      <c r="M89" s="282" t="s">
        <v>617</v>
      </c>
      <c r="N89" s="278" t="s">
        <v>613</v>
      </c>
      <c r="O89" s="281" t="str">
        <f>+'Plan de Adquisiciones '!K93</f>
        <v>Profesional Universitario 219-01</v>
      </c>
      <c r="P89" s="281">
        <v>2630603</v>
      </c>
      <c r="Q89" s="281" t="str">
        <f>+'Plan de Adquisiciones '!M93</f>
        <v xml:space="preserve"> abustamante@idep.edu.co</v>
      </c>
    </row>
    <row r="90" spans="1:17" ht="75" x14ac:dyDescent="0.25">
      <c r="A90" s="289">
        <f>+'Plan de Adquisiciones '!J94</f>
        <v>80111621</v>
      </c>
      <c r="B90" s="282" t="str">
        <f>+'Plan de Adquisiciones '!I94</f>
        <v>Prestación de servicios profesionales para realizar la caracterización y consolidación  de experiencias pedagógicas en las localidades 7, 8, 9, 14, 15, 18 del Distrito Capital, en el marco del Convenio 1452 de 2017 en su componente 4.</v>
      </c>
      <c r="C90" s="301">
        <v>4</v>
      </c>
      <c r="D90" s="301">
        <v>4</v>
      </c>
      <c r="E90" s="301">
        <f>+'Plan de Adquisiciones '!O94</f>
        <v>7</v>
      </c>
      <c r="F90" s="301">
        <v>1</v>
      </c>
      <c r="G90" s="282" t="s">
        <v>570</v>
      </c>
      <c r="H90" s="289">
        <v>0</v>
      </c>
      <c r="I90" s="302">
        <f>+'Plan de Adquisiciones '!T94</f>
        <v>46476171</v>
      </c>
      <c r="J90" s="302">
        <f>+'Plan de Adquisiciones '!T94</f>
        <v>46476171</v>
      </c>
      <c r="K90" s="298">
        <v>0</v>
      </c>
      <c r="L90" s="299">
        <v>0</v>
      </c>
      <c r="M90" s="282" t="s">
        <v>617</v>
      </c>
      <c r="N90" s="278" t="s">
        <v>613</v>
      </c>
      <c r="O90" s="281" t="str">
        <f>+'Plan de Adquisiciones '!K94</f>
        <v>Profesional Universitario 219-01</v>
      </c>
      <c r="P90" s="281">
        <v>2630603</v>
      </c>
      <c r="Q90" s="281" t="str">
        <f>+'Plan de Adquisiciones '!M94</f>
        <v xml:space="preserve"> abustamante@idep.edu.co</v>
      </c>
    </row>
    <row r="91" spans="1:17" ht="45" x14ac:dyDescent="0.25">
      <c r="A91" s="289">
        <f>+'Plan de Adquisiciones '!J95</f>
        <v>80111621</v>
      </c>
      <c r="B91" s="282" t="str">
        <f>+'Plan de Adquisiciones '!I95</f>
        <v>Prestación de servicios profesionales para realizar el apoyo administrativo, en el marco del Convenio 1452 de 2017 en su componente 4.</v>
      </c>
      <c r="C91" s="301">
        <v>4</v>
      </c>
      <c r="D91" s="301">
        <v>4</v>
      </c>
      <c r="E91" s="301">
        <f>+'Plan de Adquisiciones '!O95</f>
        <v>8</v>
      </c>
      <c r="F91" s="301">
        <v>1</v>
      </c>
      <c r="G91" s="282" t="s">
        <v>570</v>
      </c>
      <c r="H91" s="289">
        <v>0</v>
      </c>
      <c r="I91" s="302">
        <f>+'Plan de Adquisiciones '!T95</f>
        <v>32505654</v>
      </c>
      <c r="J91" s="302">
        <f>+'Plan de Adquisiciones '!T95</f>
        <v>32505654</v>
      </c>
      <c r="K91" s="298">
        <v>0</v>
      </c>
      <c r="L91" s="299">
        <v>0</v>
      </c>
      <c r="M91" s="282" t="s">
        <v>617</v>
      </c>
      <c r="N91" s="278" t="s">
        <v>613</v>
      </c>
      <c r="O91" s="281" t="str">
        <f>+'Plan de Adquisiciones '!K95</f>
        <v>Profesional Universitario 219-01</v>
      </c>
      <c r="P91" s="281">
        <v>2630603</v>
      </c>
      <c r="Q91" s="281" t="str">
        <f>+'Plan de Adquisiciones '!M95</f>
        <v xml:space="preserve"> abustamante@idep.edu.co</v>
      </c>
    </row>
    <row r="92" spans="1:17" ht="135" x14ac:dyDescent="0.25">
      <c r="A92" s="289">
        <f>+'Plan de Adquisiciones '!J96</f>
        <v>80111621</v>
      </c>
      <c r="B92" s="282" t="str">
        <f>+'Plan de Adquisiciones '!I96</f>
        <v>Prestación de servicios para apoyar en la actualización y consolidación del mapeo realizado por la SED y el IDEP en el  2016, para alimentar las aplicaciones de georeferenciación del IDECA (Mapas Bogotá y plataformas asociadas), que permitan visibilizar el resultado del mapeo de las experiencias de investigación, innovación educativa y redes pedagógicas de Bogotá, en el marco del Convenio 1452 de 2017 en su componente 4.</v>
      </c>
      <c r="C92" s="301">
        <v>6</v>
      </c>
      <c r="D92" s="301">
        <v>6</v>
      </c>
      <c r="E92" s="301">
        <f>+'Plan de Adquisiciones '!O96</f>
        <v>5</v>
      </c>
      <c r="F92" s="301">
        <v>1</v>
      </c>
      <c r="G92" s="282" t="s">
        <v>570</v>
      </c>
      <c r="H92" s="289">
        <v>0</v>
      </c>
      <c r="I92" s="302">
        <f>+'Plan de Adquisiciones '!T96</f>
        <v>159014940</v>
      </c>
      <c r="J92" s="302">
        <f>+'Plan de Adquisiciones '!T96</f>
        <v>159014940</v>
      </c>
      <c r="K92" s="298">
        <v>0</v>
      </c>
      <c r="L92" s="299">
        <v>0</v>
      </c>
      <c r="M92" s="282" t="s">
        <v>617</v>
      </c>
      <c r="N92" s="278" t="s">
        <v>613</v>
      </c>
      <c r="O92" s="281" t="str">
        <f>+'Plan de Adquisiciones '!K96</f>
        <v xml:space="preserve">Asesor 105-02 </v>
      </c>
      <c r="P92" s="281">
        <v>2630603</v>
      </c>
      <c r="Q92" s="281" t="str">
        <f>+'Plan de Adquisiciones '!M96</f>
        <v>eortiz@idep.edu.co</v>
      </c>
    </row>
    <row r="93" spans="1:17" ht="105" x14ac:dyDescent="0.25">
      <c r="A93" s="289">
        <f>+'Plan de Adquisiciones '!J99</f>
        <v>80111621</v>
      </c>
      <c r="B93" s="282" t="str">
        <f>+'Plan de Adquisiciones '!I99</f>
        <v xml:space="preserve">Prestación de servicio profesionales para desarrollar una estrategia de comunicación y divulgación de las acciones que realizan docentes investigadores, innovadores y redes pedagógicas que propicien intercambio de saberes en la ciudad de Bogotá, en el marco del Convenio 1452 de 2017 en su componente 4.
</v>
      </c>
      <c r="C93" s="301">
        <v>6</v>
      </c>
      <c r="D93" s="301">
        <v>6</v>
      </c>
      <c r="E93" s="301">
        <f>+'Plan de Adquisiciones '!O99</f>
        <v>6</v>
      </c>
      <c r="F93" s="301">
        <v>1</v>
      </c>
      <c r="G93" s="282" t="s">
        <v>570</v>
      </c>
      <c r="H93" s="289">
        <v>0</v>
      </c>
      <c r="I93" s="302">
        <f>+'Plan de Adquisiciones '!T99</f>
        <v>202000000</v>
      </c>
      <c r="J93" s="302">
        <f>+'Plan de Adquisiciones '!T99</f>
        <v>202000000</v>
      </c>
      <c r="K93" s="298">
        <v>0</v>
      </c>
      <c r="L93" s="299">
        <v>0</v>
      </c>
      <c r="M93" s="282" t="s">
        <v>617</v>
      </c>
      <c r="N93" s="278" t="s">
        <v>613</v>
      </c>
      <c r="O93" s="281" t="str">
        <f>+'Plan de Adquisiciones '!K99</f>
        <v>Profesional 222-05</v>
      </c>
      <c r="P93" s="281">
        <v>2630603</v>
      </c>
      <c r="Q93" s="281" t="str">
        <f>+'Plan de Adquisiciones '!M99</f>
        <v xml:space="preserve"> acortes@idep.edu.co</v>
      </c>
    </row>
    <row r="94" spans="1:17" ht="60" x14ac:dyDescent="0.25">
      <c r="A94" s="289">
        <f>+'Plan de Adquisiciones '!J100</f>
        <v>80111621</v>
      </c>
      <c r="B94" s="282" t="str">
        <f>+'Plan de Adquisiciones '!I100</f>
        <v>Prestación de servicios profesionales para fortalecer e impulsar la Red de innovación del Distrito a través del apoyo a las redes pedagógicas, en el marco del Convenio 1452 de 2017 en su componente 4.</v>
      </c>
      <c r="C94" s="301">
        <v>6</v>
      </c>
      <c r="D94" s="301">
        <v>6</v>
      </c>
      <c r="E94" s="301">
        <f>+'Plan de Adquisiciones '!O100</f>
        <v>6</v>
      </c>
      <c r="F94" s="301">
        <v>1</v>
      </c>
      <c r="G94" s="282" t="s">
        <v>570</v>
      </c>
      <c r="H94" s="289">
        <v>0</v>
      </c>
      <c r="I94" s="302">
        <f>+'Plan de Adquisiciones '!T100</f>
        <v>100000000</v>
      </c>
      <c r="J94" s="302">
        <f>+'Plan de Adquisiciones '!T100</f>
        <v>100000000</v>
      </c>
      <c r="K94" s="298">
        <v>0</v>
      </c>
      <c r="L94" s="299">
        <v>0</v>
      </c>
      <c r="M94" s="282" t="s">
        <v>617</v>
      </c>
      <c r="N94" s="278" t="s">
        <v>613</v>
      </c>
      <c r="O94" s="281" t="str">
        <f>+'Plan de Adquisiciones '!K100</f>
        <v>Profesional 222-05</v>
      </c>
      <c r="P94" s="281">
        <v>2630603</v>
      </c>
      <c r="Q94" s="281" t="str">
        <f>+'Plan de Adquisiciones '!M100</f>
        <v xml:space="preserve"> acortes@idep.edu.co</v>
      </c>
    </row>
    <row r="95" spans="1:17" ht="60" x14ac:dyDescent="0.25">
      <c r="A95" s="289">
        <f>+'Plan de Adquisiciones '!J103</f>
        <v>80111621</v>
      </c>
      <c r="B95" s="282" t="str">
        <f>+'Plan de Adquisiciones '!I103</f>
        <v>Prestación de servicios profesionales para orientar conceptual y metodológicamente el estudio sobre prácticas de evaluación,  en el marco del convenio  1452  de 2017 en su componente 1.</v>
      </c>
      <c r="C95" s="301">
        <v>4</v>
      </c>
      <c r="D95" s="301">
        <v>4</v>
      </c>
      <c r="E95" s="301">
        <f>+'Plan de Adquisiciones '!O103</f>
        <v>8</v>
      </c>
      <c r="F95" s="301">
        <v>1</v>
      </c>
      <c r="G95" s="282" t="s">
        <v>570</v>
      </c>
      <c r="H95" s="289">
        <v>0</v>
      </c>
      <c r="I95" s="302">
        <f>+'Plan de Adquisiciones '!T103</f>
        <v>73040000</v>
      </c>
      <c r="J95" s="302">
        <f>+'Plan de Adquisiciones '!T103</f>
        <v>73040000</v>
      </c>
      <c r="K95" s="298">
        <v>0</v>
      </c>
      <c r="L95" s="299">
        <v>0</v>
      </c>
      <c r="M95" s="282" t="s">
        <v>617</v>
      </c>
      <c r="N95" s="278" t="s">
        <v>613</v>
      </c>
      <c r="O95" s="281" t="str">
        <f>+'Plan de Adquisiciones '!K103</f>
        <v xml:space="preserve"> Profesional 222-06.</v>
      </c>
      <c r="P95" s="281">
        <v>2630603</v>
      </c>
      <c r="Q95" s="281" t="str">
        <f>+'Plan de Adquisiciones '!M103</f>
        <v xml:space="preserve"> lacuña@idep.edu.co</v>
      </c>
    </row>
    <row r="96" spans="1:17" ht="75" x14ac:dyDescent="0.25">
      <c r="A96" s="289">
        <f>+'Plan de Adquisiciones '!J104</f>
        <v>80111621</v>
      </c>
      <c r="B96" s="282" t="str">
        <f>+'Plan de Adquisiciones '!I104</f>
        <v>Prestación de servicios profesionales para realizar los lineamientos conceptuales y metodológicos  para  la creación de una RED de Instituciones por la Evaluación en el Distrito Capital, en el marco del Convenio  1452   de 2017 en su componente 1</v>
      </c>
      <c r="C96" s="301">
        <v>4</v>
      </c>
      <c r="D96" s="301">
        <v>4</v>
      </c>
      <c r="E96" s="301">
        <f>+'Plan de Adquisiciones '!O104</f>
        <v>8</v>
      </c>
      <c r="F96" s="301">
        <v>1</v>
      </c>
      <c r="G96" s="282" t="s">
        <v>570</v>
      </c>
      <c r="H96" s="289">
        <v>0</v>
      </c>
      <c r="I96" s="302">
        <f>+'Plan de Adquisiciones '!T104</f>
        <v>73040000</v>
      </c>
      <c r="J96" s="302">
        <f>+'Plan de Adquisiciones '!T104</f>
        <v>73040000</v>
      </c>
      <c r="K96" s="298">
        <v>0</v>
      </c>
      <c r="L96" s="299">
        <v>0</v>
      </c>
      <c r="M96" s="282" t="s">
        <v>617</v>
      </c>
      <c r="N96" s="278" t="s">
        <v>613</v>
      </c>
      <c r="O96" s="281" t="str">
        <f>+'Plan de Adquisiciones '!K104</f>
        <v xml:space="preserve"> Profesional 222-06.</v>
      </c>
      <c r="P96" s="281">
        <v>2630603</v>
      </c>
      <c r="Q96" s="281" t="str">
        <f>+'Plan de Adquisiciones '!M104</f>
        <v xml:space="preserve"> lacuña@idep.edu.co</v>
      </c>
    </row>
    <row r="97" spans="1:17" ht="135" x14ac:dyDescent="0.25">
      <c r="A97" s="289">
        <f>+'Plan de Adquisiciones '!J105</f>
        <v>80111621</v>
      </c>
      <c r="B97" s="282" t="str">
        <f>+'Plan de Adquisiciones '!I105</f>
        <v>Prestación de servicios profesionales para apoyar académicamente  la supervisión y orientar conceptual y metodológicamente los encuentros, talleres y seminarios  entre entidades, instituciones, directivos y docentes participantes en el estudio sobre prácticas significativas de evaluación en las IED, así como la clasificación y consolidación de productos derivados del estudio, en el marco del Convenio  1452   de 2017 en su componente 1.</v>
      </c>
      <c r="C97" s="301">
        <v>4</v>
      </c>
      <c r="D97" s="301">
        <v>4</v>
      </c>
      <c r="E97" s="301">
        <f>+'Plan de Adquisiciones '!O105</f>
        <v>8</v>
      </c>
      <c r="F97" s="301">
        <v>1</v>
      </c>
      <c r="G97" s="282" t="s">
        <v>570</v>
      </c>
      <c r="H97" s="289">
        <v>0</v>
      </c>
      <c r="I97" s="302">
        <f>+'Plan de Adquisiciones '!T105</f>
        <v>73040000</v>
      </c>
      <c r="J97" s="302">
        <f>+'Plan de Adquisiciones '!T105</f>
        <v>73040000</v>
      </c>
      <c r="K97" s="298">
        <v>0</v>
      </c>
      <c r="L97" s="299">
        <v>0</v>
      </c>
      <c r="M97" s="282" t="s">
        <v>617</v>
      </c>
      <c r="N97" s="278" t="s">
        <v>613</v>
      </c>
      <c r="O97" s="281" t="str">
        <f>+'Plan de Adquisiciones '!K105</f>
        <v xml:space="preserve"> Profesional 222-06.</v>
      </c>
      <c r="P97" s="281">
        <v>2630603</v>
      </c>
      <c r="Q97" s="281" t="str">
        <f>+'Plan de Adquisiciones '!M105</f>
        <v xml:space="preserve"> lacuña@idep.edu.co</v>
      </c>
    </row>
    <row r="98" spans="1:17" ht="75" x14ac:dyDescent="0.25">
      <c r="A98" s="289">
        <f>+'Plan de Adquisiciones '!J106</f>
        <v>80111621</v>
      </c>
      <c r="B98" s="282" t="str">
        <f>+'Plan de Adquisiciones '!I106</f>
        <v>Prestación de servicios profesionales para prestar el apoyo tecnológico y de comunicaciones del  estudio sobre  prácticas de evaluación  en el distrito capital en el marco  del Convenio  1452   de 2017 en su componente 1.</v>
      </c>
      <c r="C98" s="301">
        <v>4</v>
      </c>
      <c r="D98" s="301">
        <v>4</v>
      </c>
      <c r="E98" s="301">
        <f>+'Plan de Adquisiciones '!O106</f>
        <v>8</v>
      </c>
      <c r="F98" s="301">
        <v>1</v>
      </c>
      <c r="G98" s="282" t="s">
        <v>570</v>
      </c>
      <c r="H98" s="289">
        <v>0</v>
      </c>
      <c r="I98" s="302">
        <f>+'Plan de Adquisiciones '!T106</f>
        <v>29508680</v>
      </c>
      <c r="J98" s="302">
        <f>+'Plan de Adquisiciones '!T106</f>
        <v>29508680</v>
      </c>
      <c r="K98" s="298">
        <v>0</v>
      </c>
      <c r="L98" s="299">
        <v>0</v>
      </c>
      <c r="M98" s="282" t="s">
        <v>617</v>
      </c>
      <c r="N98" s="278" t="s">
        <v>613</v>
      </c>
      <c r="O98" s="281" t="str">
        <f>+'Plan de Adquisiciones '!K106</f>
        <v xml:space="preserve"> Profesional 222-06.</v>
      </c>
      <c r="P98" s="281">
        <v>2630603</v>
      </c>
      <c r="Q98" s="281" t="str">
        <f>+'Plan de Adquisiciones '!M106</f>
        <v xml:space="preserve"> lacuña@idep.edu.co</v>
      </c>
    </row>
    <row r="99" spans="1:17" ht="105" x14ac:dyDescent="0.25">
      <c r="A99" s="289">
        <f>+'Plan de Adquisiciones '!J107</f>
        <v>80111621</v>
      </c>
      <c r="B99" s="282" t="str">
        <f>+'Plan de Adquisiciones '!I107</f>
        <v>Prestación de servicios profesionales para realizar la caracterización, sistematización y análisis de buenas prácticas de evaluación, así como el levantamiento de información para la línea de base sobre prácticas de evaluación en todas las instituciones oficiales del Distrito Capital, en el marco del Convenio 1452   de 2017 en su componente 1.</v>
      </c>
      <c r="C99" s="301">
        <v>5</v>
      </c>
      <c r="D99" s="301">
        <v>5</v>
      </c>
      <c r="E99" s="301">
        <f>+'Plan de Adquisiciones '!O107</f>
        <v>7</v>
      </c>
      <c r="F99" s="301">
        <v>1</v>
      </c>
      <c r="G99" s="282" t="s">
        <v>570</v>
      </c>
      <c r="H99" s="289">
        <v>0</v>
      </c>
      <c r="I99" s="302">
        <f>+'Plan de Adquisiciones '!T107</f>
        <v>372477405</v>
      </c>
      <c r="J99" s="302">
        <f>+'Plan de Adquisiciones '!T107</f>
        <v>372477405</v>
      </c>
      <c r="K99" s="298">
        <v>0</v>
      </c>
      <c r="L99" s="299">
        <v>0</v>
      </c>
      <c r="M99" s="282" t="s">
        <v>617</v>
      </c>
      <c r="N99" s="278" t="s">
        <v>613</v>
      </c>
      <c r="O99" s="281" t="str">
        <f>+'Plan de Adquisiciones '!K107</f>
        <v xml:space="preserve">Asesor 105-02 </v>
      </c>
      <c r="P99" s="281">
        <v>2630603</v>
      </c>
      <c r="Q99" s="281" t="str">
        <f>+'Plan de Adquisiciones '!M107</f>
        <v xml:space="preserve"> eortiz@idep.edu.co</v>
      </c>
    </row>
    <row r="100" spans="1:17" ht="60" x14ac:dyDescent="0.25">
      <c r="A100" s="289">
        <f>+'Plan de Adquisiciones '!J108</f>
        <v>80111621</v>
      </c>
      <c r="B100" s="282" t="str">
        <f>+'Plan de Adquisiciones '!I108</f>
        <v>Prestación de servicios profesionales para  realizar el apoyo administrativo y de asistencia académica para el estudio sobre prácticas evaluativas, en el marco del Convenio  1452 de 2017 en su componente 1.</v>
      </c>
      <c r="C100" s="301">
        <v>4</v>
      </c>
      <c r="D100" s="301">
        <v>4</v>
      </c>
      <c r="E100" s="301">
        <f>+'Plan de Adquisiciones '!O108</f>
        <v>8</v>
      </c>
      <c r="F100" s="301">
        <v>1</v>
      </c>
      <c r="G100" s="282" t="s">
        <v>570</v>
      </c>
      <c r="H100" s="289">
        <v>0</v>
      </c>
      <c r="I100" s="302">
        <f>+'Plan de Adquisiciones '!T108</f>
        <v>28893915</v>
      </c>
      <c r="J100" s="302">
        <f>+'Plan de Adquisiciones '!T108</f>
        <v>28893915</v>
      </c>
      <c r="K100" s="298">
        <v>0</v>
      </c>
      <c r="L100" s="299">
        <v>0</v>
      </c>
      <c r="M100" s="282" t="s">
        <v>617</v>
      </c>
      <c r="N100" s="278" t="s">
        <v>613</v>
      </c>
      <c r="O100" s="281" t="str">
        <f>+'Plan de Adquisiciones '!K108</f>
        <v xml:space="preserve"> Profesional 222-06.</v>
      </c>
      <c r="P100" s="281">
        <v>2630603</v>
      </c>
      <c r="Q100" s="281" t="str">
        <f>+'Plan de Adquisiciones '!M108</f>
        <v>lacuña@idep.edu.co</v>
      </c>
    </row>
    <row r="101" spans="1:17" ht="135" x14ac:dyDescent="0.25">
      <c r="A101" s="289">
        <f>+'Plan de Adquisiciones '!J110</f>
        <v>80111621</v>
      </c>
      <c r="B101" s="282" t="str">
        <f>+'Plan de Adquisiciones '!I110</f>
        <v>Prestación de servicios profesionales para desarrollar un proceso de investigación y formación, con el fin de cualificar el uso y apropiación de los resultados de 5 experiencias pedagógicas, investigaciones o innovaciones educativas, en el Distrito Capital, mediante la producción de narrativas con el fin de divulgarlas de manera innovadora (transmedia) de forma que impacten de manera más eficaz a sus comunidades académicas.</v>
      </c>
      <c r="C101" s="301">
        <v>5</v>
      </c>
      <c r="D101" s="301">
        <v>5</v>
      </c>
      <c r="E101" s="301">
        <f>+'Plan de Adquisiciones '!O110</f>
        <v>7</v>
      </c>
      <c r="F101" s="301">
        <v>1</v>
      </c>
      <c r="G101" s="282" t="s">
        <v>570</v>
      </c>
      <c r="H101" s="289">
        <v>0</v>
      </c>
      <c r="I101" s="302">
        <f>+'Plan de Adquisiciones '!T110</f>
        <v>167471012</v>
      </c>
      <c r="J101" s="302">
        <f>+'Plan de Adquisiciones '!T110</f>
        <v>167471012</v>
      </c>
      <c r="K101" s="298">
        <v>0</v>
      </c>
      <c r="L101" s="299">
        <v>0</v>
      </c>
      <c r="M101" s="282" t="s">
        <v>617</v>
      </c>
      <c r="N101" s="278" t="s">
        <v>613</v>
      </c>
      <c r="O101" s="281" t="str">
        <f>+'Plan de Adquisiciones '!K110</f>
        <v xml:space="preserve">Asesor 105-02 </v>
      </c>
      <c r="P101" s="281">
        <v>2630603</v>
      </c>
      <c r="Q101" s="281" t="str">
        <f>+'Plan de Adquisiciones '!M110</f>
        <v xml:space="preserve"> eortiz@idep.edu.co</v>
      </c>
    </row>
    <row r="102" spans="1:17" ht="75" x14ac:dyDescent="0.25">
      <c r="A102" s="289">
        <f>+'Plan de Adquisiciones '!J112</f>
        <v>80111621</v>
      </c>
      <c r="B102" s="282" t="str">
        <f>+'Plan de Adquisiciones '!I112</f>
        <v>Prestación de servicios profesionales para  apoyar la elaboración  de los referentes conceptuales y metodológicos de una estrategia para el desarrollo personal de los docentes, en el marco del Convenio 1452 de 2017 en su componente 4.</v>
      </c>
      <c r="C102" s="301">
        <v>5</v>
      </c>
      <c r="D102" s="301">
        <v>5</v>
      </c>
      <c r="E102" s="301">
        <f>+'Plan de Adquisiciones '!O112</f>
        <v>6</v>
      </c>
      <c r="F102" s="301">
        <v>1</v>
      </c>
      <c r="G102" s="282" t="s">
        <v>570</v>
      </c>
      <c r="H102" s="289">
        <v>0</v>
      </c>
      <c r="I102" s="302">
        <f>+'Plan de Adquisiciones '!T112</f>
        <v>39836718</v>
      </c>
      <c r="J102" s="302">
        <f>+'Plan de Adquisiciones '!T112</f>
        <v>39836718</v>
      </c>
      <c r="K102" s="298">
        <v>0</v>
      </c>
      <c r="L102" s="299">
        <v>0</v>
      </c>
      <c r="M102" s="282" t="s">
        <v>617</v>
      </c>
      <c r="N102" s="278" t="s">
        <v>613</v>
      </c>
      <c r="O102" s="281" t="str">
        <f>+'Plan de Adquisiciones '!K112</f>
        <v>Profesional 222-07</v>
      </c>
      <c r="P102" s="281">
        <v>2630603</v>
      </c>
      <c r="Q102" s="281" t="str">
        <f>+'Plan de Adquisiciones '!M112</f>
        <v>jpalacio@idep.edu.co</v>
      </c>
    </row>
    <row r="103" spans="1:17" ht="75" x14ac:dyDescent="0.25">
      <c r="A103" s="289">
        <f>+'Plan de Adquisiciones '!J113</f>
        <v>80111621</v>
      </c>
      <c r="B103" s="282" t="str">
        <f>+'Plan de Adquisiciones '!I113</f>
        <v>Prestación de servicios profesionales para  apoyar la elaboración  de los referentes pedagógicos y técnicos de una estrategia para el desarrollo personal de los docentes, en el marco del Convenio 1452 de 2017 en su componente 4.</v>
      </c>
      <c r="C103" s="301">
        <v>5</v>
      </c>
      <c r="D103" s="301">
        <v>5</v>
      </c>
      <c r="E103" s="301">
        <f>+'Plan de Adquisiciones '!O113</f>
        <v>6</v>
      </c>
      <c r="F103" s="301">
        <v>1</v>
      </c>
      <c r="G103" s="282" t="s">
        <v>570</v>
      </c>
      <c r="H103" s="289">
        <v>0</v>
      </c>
      <c r="I103" s="302">
        <f>+'Plan de Adquisiciones '!T113</f>
        <v>39836718</v>
      </c>
      <c r="J103" s="302">
        <f>+'Plan de Adquisiciones '!T113</f>
        <v>39836718</v>
      </c>
      <c r="K103" s="298">
        <v>0</v>
      </c>
      <c r="L103" s="299">
        <v>0</v>
      </c>
      <c r="M103" s="282" t="s">
        <v>617</v>
      </c>
      <c r="N103" s="278" t="s">
        <v>613</v>
      </c>
      <c r="O103" s="281" t="str">
        <f>+'Plan de Adquisiciones '!K113</f>
        <v>Profesional 222-07</v>
      </c>
      <c r="P103" s="281">
        <v>2630603</v>
      </c>
      <c r="Q103" s="281" t="str">
        <f>+'Plan de Adquisiciones '!M113</f>
        <v>jpalacio@idep.edu.co</v>
      </c>
    </row>
    <row r="104" spans="1:17" ht="60" x14ac:dyDescent="0.25">
      <c r="A104" s="289">
        <f>+'Plan de Adquisiciones '!J130</f>
        <v>80111621</v>
      </c>
      <c r="B104" s="282" t="str">
        <f>+'Plan de Adquisiciones '!I130</f>
        <v>Arrendar un (1) stand, con el propósito que el Instituto para la Investigación Educativa y el Desarrollo Pedagógico IDEP, participe como expositor en la XXX Feria Internacional del Libro de Bogotá -Colombia</v>
      </c>
      <c r="C104" s="301">
        <v>3</v>
      </c>
      <c r="D104" s="301">
        <v>3</v>
      </c>
      <c r="E104" s="301">
        <f>+'Plan de Adquisiciones '!O130</f>
        <v>2</v>
      </c>
      <c r="F104" s="301">
        <v>1</v>
      </c>
      <c r="G104" s="282" t="s">
        <v>570</v>
      </c>
      <c r="H104" s="289">
        <v>0</v>
      </c>
      <c r="I104" s="302">
        <f>+'Plan de Adquisiciones '!T130</f>
        <v>12003538</v>
      </c>
      <c r="J104" s="302">
        <f>+'Plan de Adquisiciones '!T130</f>
        <v>12003538</v>
      </c>
      <c r="K104" s="298">
        <v>0</v>
      </c>
      <c r="L104" s="299">
        <v>0</v>
      </c>
      <c r="M104" s="282" t="s">
        <v>617</v>
      </c>
      <c r="N104" s="278" t="s">
        <v>613</v>
      </c>
      <c r="O104" s="281" t="str">
        <f>+'Plan de Adquisiciones '!K130</f>
        <v>Profesional 222-05</v>
      </c>
      <c r="P104" s="281">
        <v>2630603</v>
      </c>
      <c r="Q104" s="281" t="str">
        <f>+'Plan de Adquisiciones '!M130</f>
        <v xml:space="preserve"> dprada@idep.edu.co</v>
      </c>
    </row>
    <row r="105" spans="1:17" ht="60" x14ac:dyDescent="0.25">
      <c r="A105" s="289">
        <f>+'Plan de Adquisiciones '!J132</f>
        <v>80111621</v>
      </c>
      <c r="B105" s="282" t="str">
        <f>+'Plan de Adquisiciones '!I132</f>
        <v>Prestación de servicios profesionales para implementar una estrategia de formación docente que haga uso del Centro Virtual de Memoria en Educación y Pedagogía del IDEP.</v>
      </c>
      <c r="C105" s="301">
        <v>3</v>
      </c>
      <c r="D105" s="301">
        <v>3</v>
      </c>
      <c r="E105" s="301">
        <f>+'Plan de Adquisiciones '!O132</f>
        <v>6</v>
      </c>
      <c r="F105" s="301">
        <v>1</v>
      </c>
      <c r="G105" s="282" t="s">
        <v>570</v>
      </c>
      <c r="H105" s="289">
        <v>0</v>
      </c>
      <c r="I105" s="302">
        <f>+'Plan de Adquisiciones '!T132</f>
        <v>52000620</v>
      </c>
      <c r="J105" s="302">
        <f>+'Plan de Adquisiciones '!T132</f>
        <v>52000620</v>
      </c>
      <c r="K105" s="298">
        <v>0</v>
      </c>
      <c r="L105" s="299">
        <v>0</v>
      </c>
      <c r="M105" s="282" t="s">
        <v>617</v>
      </c>
      <c r="N105" s="278" t="s">
        <v>613</v>
      </c>
      <c r="O105" s="281" t="str">
        <f>+'Plan de Adquisiciones '!K132</f>
        <v>Profesional 222-05</v>
      </c>
      <c r="P105" s="281">
        <v>2630603</v>
      </c>
      <c r="Q105" s="281" t="str">
        <f>+'Plan de Adquisiciones '!M132</f>
        <v xml:space="preserve"> acortes@idep.edu.co</v>
      </c>
    </row>
    <row r="106" spans="1:17" ht="60" x14ac:dyDescent="0.25">
      <c r="A106" s="289">
        <f>+'Plan de Adquisiciones '!J136</f>
        <v>80111621</v>
      </c>
      <c r="B106" s="282" t="str">
        <f>+'Plan de Adquisiciones '!I136</f>
        <v>Prestación de servicios profesionales para apoyar la gestión académica y administrativa de la XI versión del Premio a la Investigación e Innovación educativa, en el marco del Convenio 1452 de 2017 en su componente 5.</v>
      </c>
      <c r="C106" s="301">
        <v>4</v>
      </c>
      <c r="D106" s="301">
        <v>4</v>
      </c>
      <c r="E106" s="301">
        <f>+'Plan de Adquisiciones '!O136</f>
        <v>8</v>
      </c>
      <c r="F106" s="301">
        <v>1</v>
      </c>
      <c r="G106" s="282" t="s">
        <v>570</v>
      </c>
      <c r="H106" s="289">
        <v>0</v>
      </c>
      <c r="I106" s="302">
        <f>+'Plan de Adquisiciones '!T136</f>
        <v>36682979</v>
      </c>
      <c r="J106" s="302">
        <f>+'Plan de Adquisiciones '!T136</f>
        <v>36682979</v>
      </c>
      <c r="K106" s="298">
        <v>0</v>
      </c>
      <c r="L106" s="299">
        <v>0</v>
      </c>
      <c r="M106" s="282" t="s">
        <v>617</v>
      </c>
      <c r="N106" s="278" t="s">
        <v>613</v>
      </c>
      <c r="O106" s="281" t="str">
        <f>+'Plan de Adquisiciones '!K136</f>
        <v>Asesor 105-02</v>
      </c>
      <c r="P106" s="281">
        <v>2630603</v>
      </c>
      <c r="Q106" s="281" t="str">
        <f>+'Plan de Adquisiciones '!M136</f>
        <v>mramirez@idep.edu.co</v>
      </c>
    </row>
    <row r="107" spans="1:17" ht="90" x14ac:dyDescent="0.25">
      <c r="A107" s="289">
        <f>+'Plan de Adquisiciones '!J137</f>
        <v>80111621</v>
      </c>
      <c r="B107" s="282" t="str">
        <f>+'Plan de Adquisiciones '!I137</f>
        <v>Prestación de servicios para el desarrollo de un aplicativo como solución tecnológica, que permita fortalecer y administrar la convocatoria del Premio a la investigación e Innovación Educativa desde el micrositio del mismo, en el marco del convenio 1452 de 2017 en su componente 5.</v>
      </c>
      <c r="C107" s="301">
        <v>8</v>
      </c>
      <c r="D107" s="301">
        <v>10</v>
      </c>
      <c r="E107" s="301">
        <f>+'Plan de Adquisiciones '!O137</f>
        <v>2</v>
      </c>
      <c r="F107" s="301">
        <v>1</v>
      </c>
      <c r="G107" s="289" t="s">
        <v>575</v>
      </c>
      <c r="H107" s="289">
        <v>0</v>
      </c>
      <c r="I107" s="302">
        <f>+'Plan de Adquisiciones '!T137</f>
        <v>0</v>
      </c>
      <c r="J107" s="302">
        <f>+'Plan de Adquisiciones '!T137</f>
        <v>0</v>
      </c>
      <c r="K107" s="298">
        <v>0</v>
      </c>
      <c r="L107" s="299">
        <v>0</v>
      </c>
      <c r="M107" s="282" t="s">
        <v>617</v>
      </c>
      <c r="N107" s="278" t="s">
        <v>613</v>
      </c>
      <c r="O107" s="281" t="str">
        <f>+'Plan de Adquisiciones '!K137</f>
        <v>Asesor 105-02</v>
      </c>
      <c r="P107" s="281">
        <v>2630603</v>
      </c>
      <c r="Q107" s="281" t="str">
        <f>+'Plan de Adquisiciones '!M137</f>
        <v xml:space="preserve"> mramirez@idep.edu.co</v>
      </c>
    </row>
    <row r="108" spans="1:17" ht="75" x14ac:dyDescent="0.25">
      <c r="A108" s="289">
        <f>+'Plan de Adquisiciones '!J139</f>
        <v>80111621</v>
      </c>
      <c r="B108" s="282" t="str">
        <f>+'Plan de Adquisiciones '!I139</f>
        <v>Prestación de servicios para adelantar el proceso de evaluación de los proyectos de investigación e innovación habilitados, en la XI versión del Premio de Investigación e Innovación Educativa, en el marco del Convenio 1452 de 2017 en su componente 5.</v>
      </c>
      <c r="C108" s="301">
        <v>7</v>
      </c>
      <c r="D108" s="301">
        <v>7</v>
      </c>
      <c r="E108" s="301">
        <f>+'Plan de Adquisiciones '!O139</f>
        <v>5</v>
      </c>
      <c r="F108" s="301">
        <v>1</v>
      </c>
      <c r="G108" s="282" t="s">
        <v>570</v>
      </c>
      <c r="H108" s="289">
        <v>0</v>
      </c>
      <c r="I108" s="302">
        <f>+'Plan de Adquisiciones '!T139</f>
        <v>278334000</v>
      </c>
      <c r="J108" s="302">
        <f>+'Plan de Adquisiciones '!T139</f>
        <v>278334000</v>
      </c>
      <c r="K108" s="298">
        <v>0</v>
      </c>
      <c r="L108" s="299">
        <v>0</v>
      </c>
      <c r="M108" s="282" t="s">
        <v>617</v>
      </c>
      <c r="N108" s="278" t="s">
        <v>613</v>
      </c>
      <c r="O108" s="281" t="str">
        <f>+'Plan de Adquisiciones '!K139</f>
        <v>Profesional Universitario 219-01</v>
      </c>
      <c r="P108" s="281">
        <v>2630603</v>
      </c>
      <c r="Q108" s="281" t="str">
        <f>+'Plan de Adquisiciones '!M139</f>
        <v xml:space="preserve"> adiaz@idep.edu.co</v>
      </c>
    </row>
    <row r="109" spans="1:17" ht="60" x14ac:dyDescent="0.25">
      <c r="A109" s="289">
        <f>+'Plan de Adquisiciones '!J141</f>
        <v>80111621</v>
      </c>
      <c r="B109" s="282" t="str">
        <f>+'Plan de Adquisiciones '!I141</f>
        <v>Prestación de servicios profesionales para apoyar la gestión académica, logística y administrativa de las actividades culturales, académicas e incentivos, en el marco del Convenio 1452 de 2017 en su componente 5.</v>
      </c>
      <c r="C109" s="301">
        <v>4</v>
      </c>
      <c r="D109" s="301">
        <v>4</v>
      </c>
      <c r="E109" s="301">
        <f>+'Plan de Adquisiciones '!O141</f>
        <v>8</v>
      </c>
      <c r="F109" s="301">
        <v>1</v>
      </c>
      <c r="G109" s="282" t="s">
        <v>570</v>
      </c>
      <c r="H109" s="289">
        <v>0</v>
      </c>
      <c r="I109" s="302">
        <f>+'Plan de Adquisiciones '!T141</f>
        <v>36682979</v>
      </c>
      <c r="J109" s="302">
        <f>+'Plan de Adquisiciones '!T141</f>
        <v>36682979</v>
      </c>
      <c r="K109" s="298">
        <v>0</v>
      </c>
      <c r="L109" s="299">
        <v>0</v>
      </c>
      <c r="M109" s="282" t="s">
        <v>617</v>
      </c>
      <c r="N109" s="278" t="s">
        <v>613</v>
      </c>
      <c r="O109" s="281" t="str">
        <f>+'Plan de Adquisiciones '!K141</f>
        <v>Asesor 105-02</v>
      </c>
      <c r="P109" s="281">
        <v>2630603</v>
      </c>
      <c r="Q109" s="281" t="str">
        <f>+'Plan de Adquisiciones '!M141</f>
        <v xml:space="preserve"> mramirez@idep.edu.co</v>
      </c>
    </row>
    <row r="110" spans="1:17" ht="75" x14ac:dyDescent="0.25">
      <c r="A110" s="290">
        <f>+'Plan de Adquisiciones '!J142</f>
        <v>80111621</v>
      </c>
      <c r="B110" s="288" t="str">
        <f>+'Plan de Adquisiciones '!I142</f>
        <v>Prestación de servicios para apoyar la participación de los maestros, maestras y directivos docentes del sector oficial en el 13er Congreso Nacional de Lectura: Iguales pero diversos, en el marco del Convenio 1452 de 2017.</v>
      </c>
      <c r="C110" s="292">
        <v>4</v>
      </c>
      <c r="D110" s="292">
        <v>4</v>
      </c>
      <c r="E110" s="292">
        <f>+'Plan de Adquisiciones '!O142</f>
        <v>1</v>
      </c>
      <c r="F110" s="292">
        <v>1</v>
      </c>
      <c r="G110" s="288" t="s">
        <v>570</v>
      </c>
      <c r="H110" s="290">
        <v>0</v>
      </c>
      <c r="I110" s="293">
        <f>+'Plan de Adquisiciones '!T142</f>
        <v>30000000</v>
      </c>
      <c r="J110" s="293">
        <f>+'Plan de Adquisiciones '!T142</f>
        <v>30000000</v>
      </c>
      <c r="K110" s="291">
        <v>0</v>
      </c>
      <c r="L110" s="307">
        <v>0</v>
      </c>
      <c r="M110" s="288" t="s">
        <v>617</v>
      </c>
      <c r="N110" s="290" t="s">
        <v>613</v>
      </c>
      <c r="O110" s="288" t="str">
        <f>+'Plan de Adquisiciones '!K142</f>
        <v>Asesor 105-02</v>
      </c>
      <c r="P110" s="288">
        <v>2630603</v>
      </c>
      <c r="Q110" s="288" t="str">
        <f>+'Plan de Adquisiciones '!M142</f>
        <v xml:space="preserve"> mramirez@idep.edu.co</v>
      </c>
    </row>
    <row r="111" spans="1:17" ht="90" x14ac:dyDescent="0.25">
      <c r="A111" s="289">
        <f>+'Plan de Adquisiciones '!J153</f>
        <v>80111600</v>
      </c>
      <c r="B111" s="282" t="str">
        <f>+'Plan de Adquisiciones '!I153</f>
        <v>Prestación de servicios profesionales para apoyar la implementación, monitoreo, soporte y sostenibilidad de los Subsistemas de Gestión de Calidad, Control Interno y Responsabilidad Social; así como para la implementación, monitoreo, soporte y sostenibilidad del Sistema Integrado de Gestión SIG del IDEP.</v>
      </c>
      <c r="C111" s="301">
        <v>3</v>
      </c>
      <c r="D111" s="301">
        <v>3</v>
      </c>
      <c r="E111" s="301">
        <f>+'Plan de Adquisiciones '!O153</f>
        <v>10</v>
      </c>
      <c r="F111" s="301">
        <v>1</v>
      </c>
      <c r="G111" s="282" t="s">
        <v>570</v>
      </c>
      <c r="H111" s="289">
        <v>0</v>
      </c>
      <c r="I111" s="302">
        <f>+'Plan de Adquisiciones '!T153</f>
        <v>44250000</v>
      </c>
      <c r="J111" s="302">
        <f>+'Plan de Adquisiciones '!T153</f>
        <v>44250000</v>
      </c>
      <c r="K111" s="298">
        <v>0</v>
      </c>
      <c r="L111" s="299">
        <v>0</v>
      </c>
      <c r="M111" s="282" t="s">
        <v>617</v>
      </c>
      <c r="N111" s="278" t="s">
        <v>613</v>
      </c>
      <c r="O111" s="281" t="str">
        <f>+'Plan de Adquisiciones '!K153</f>
        <v>Jefe Oficina Asesora de Planeación</v>
      </c>
      <c r="P111" s="281">
        <v>2630603</v>
      </c>
      <c r="Q111" s="281" t="str">
        <f>+'Plan de Adquisiciones '!M153</f>
        <v xml:space="preserve"> olsanchez@idep.edu.co</v>
      </c>
    </row>
    <row r="112" spans="1:17" ht="75" x14ac:dyDescent="0.25">
      <c r="A112" s="289">
        <f>+'Plan de Adquisiciones '!J154</f>
        <v>80111600</v>
      </c>
      <c r="B112" s="282" t="str">
        <f>+'Plan de Adquisiciones '!I154</f>
        <v>Prestación de servicios profesionales para apoyar los procesos de planeación, control a la ejecución, seguimiento a la inversión y verificación de cumplimiento a las metas, proyectos, planes, programas e indicadores del IDEP.</v>
      </c>
      <c r="C112" s="301">
        <v>3</v>
      </c>
      <c r="D112" s="301">
        <v>3</v>
      </c>
      <c r="E112" s="301">
        <f>+'Plan de Adquisiciones '!O154</f>
        <v>10</v>
      </c>
      <c r="F112" s="301">
        <v>1</v>
      </c>
      <c r="G112" s="282" t="s">
        <v>570</v>
      </c>
      <c r="H112" s="289">
        <v>0</v>
      </c>
      <c r="I112" s="302">
        <f>+'Plan de Adquisiciones '!T154</f>
        <v>43200000</v>
      </c>
      <c r="J112" s="302">
        <f>+'Plan de Adquisiciones '!T154</f>
        <v>43200000</v>
      </c>
      <c r="K112" s="298">
        <v>0</v>
      </c>
      <c r="L112" s="299">
        <v>0</v>
      </c>
      <c r="M112" s="282" t="s">
        <v>617</v>
      </c>
      <c r="N112" s="278" t="s">
        <v>613</v>
      </c>
      <c r="O112" s="281" t="str">
        <f>+'Plan de Adquisiciones '!K154</f>
        <v>Jefe Oficina Asesora de Planeación</v>
      </c>
      <c r="P112" s="281">
        <v>2630603</v>
      </c>
      <c r="Q112" s="281" t="str">
        <f>+'Plan de Adquisiciones '!M154</f>
        <v xml:space="preserve"> olsanchez@idep.edu.co</v>
      </c>
    </row>
    <row r="113" spans="1:17" ht="90" x14ac:dyDescent="0.25">
      <c r="A113" s="289">
        <f>+'Plan de Adquisiciones '!J155</f>
        <v>80111600</v>
      </c>
      <c r="B113" s="282" t="str">
        <f>+'Plan de Adquisiciones '!I155</f>
        <v>Prestación de servicios profesionales para apoyar el seguimiento a los planes, proyectos, metas, indicadores del IDEP, así como para el cumplimiento de los procedimientos establecidos en el proceso de Dirección y Planeación que hace parte del Sistema Integrado de Gestión SIG.</v>
      </c>
      <c r="C113" s="301">
        <v>3</v>
      </c>
      <c r="D113" s="301">
        <v>3</v>
      </c>
      <c r="E113" s="301">
        <f>+'Plan de Adquisiciones '!O155</f>
        <v>10</v>
      </c>
      <c r="F113" s="301">
        <v>1</v>
      </c>
      <c r="G113" s="282" t="s">
        <v>570</v>
      </c>
      <c r="H113" s="289">
        <v>0</v>
      </c>
      <c r="I113" s="302">
        <f>+'Plan de Adquisiciones '!T155</f>
        <v>37601667</v>
      </c>
      <c r="J113" s="302">
        <f>+'Plan de Adquisiciones '!T155</f>
        <v>37601667</v>
      </c>
      <c r="K113" s="298">
        <v>0</v>
      </c>
      <c r="L113" s="299">
        <v>0</v>
      </c>
      <c r="M113" s="282" t="s">
        <v>617</v>
      </c>
      <c r="N113" s="278" t="s">
        <v>613</v>
      </c>
      <c r="O113" s="281" t="str">
        <f>+'Plan de Adquisiciones '!K155</f>
        <v>Jefe Oficina Asesora de Planeación</v>
      </c>
      <c r="P113" s="281">
        <v>2630603</v>
      </c>
      <c r="Q113" s="281" t="str">
        <f>+'Plan de Adquisiciones '!M155</f>
        <v xml:space="preserve"> olsanchez@idep.edu.co</v>
      </c>
    </row>
    <row r="114" spans="1:17" ht="75.75" customHeight="1" x14ac:dyDescent="0.25">
      <c r="A114" s="289">
        <f>+'Plan de Adquisiciones '!J156</f>
        <v>80111600</v>
      </c>
      <c r="B114" s="282" t="str">
        <f>+'Plan de Adquisiciones '!I156</f>
        <v>Prestación de servicios profesionales como abogado, para realizar la representacion judicial y extrajudicial de la entidad, y el apoyo jurÍdico en los diferentes procesos de la gestión jurídica y contractual.</v>
      </c>
      <c r="C114" s="301">
        <v>3</v>
      </c>
      <c r="D114" s="301">
        <v>3</v>
      </c>
      <c r="E114" s="301">
        <f>+'Plan de Adquisiciones '!O156</f>
        <v>10</v>
      </c>
      <c r="F114" s="301">
        <v>1</v>
      </c>
      <c r="G114" s="282" t="s">
        <v>570</v>
      </c>
      <c r="H114" s="289">
        <v>0</v>
      </c>
      <c r="I114" s="302">
        <f>+'Plan de Adquisiciones '!T156</f>
        <v>70324410</v>
      </c>
      <c r="J114" s="302">
        <f>+'Plan de Adquisiciones '!T156</f>
        <v>70324410</v>
      </c>
      <c r="K114" s="298">
        <v>0</v>
      </c>
      <c r="L114" s="299">
        <v>0</v>
      </c>
      <c r="M114" s="282" t="s">
        <v>617</v>
      </c>
      <c r="N114" s="278" t="s">
        <v>613</v>
      </c>
      <c r="O114" s="281" t="str">
        <f>+'Plan de Adquisiciones '!K156</f>
        <v xml:space="preserve"> Asesor Oficina Juridica</v>
      </c>
      <c r="P114" s="281">
        <v>2630603</v>
      </c>
      <c r="Q114" s="281" t="str">
        <f>+'Plan de Adquisiciones '!M156</f>
        <v xml:space="preserve"> adiaz@idep.edu.co</v>
      </c>
    </row>
    <row r="115" spans="1:17" ht="66" customHeight="1" x14ac:dyDescent="0.25">
      <c r="A115" s="289">
        <f>+'Plan de Adquisiciones '!J157</f>
        <v>80111600</v>
      </c>
      <c r="B115" s="282" t="str">
        <f>+'Plan de Adquisiciones '!I157</f>
        <v>Prestación de servicios profesionales como abogado para apoyar jurÍdicamente en los diferentes procesos de la gestión jurídica y contractual.</v>
      </c>
      <c r="C115" s="301">
        <v>2</v>
      </c>
      <c r="D115" s="301">
        <v>2</v>
      </c>
      <c r="E115" s="301">
        <f>+'Plan de Adquisiciones '!O157</f>
        <v>10</v>
      </c>
      <c r="F115" s="301">
        <v>1</v>
      </c>
      <c r="G115" s="282" t="s">
        <v>570</v>
      </c>
      <c r="H115" s="289">
        <v>0</v>
      </c>
      <c r="I115" s="302">
        <f>+'Plan de Adquisiciones '!T157</f>
        <v>31500000</v>
      </c>
      <c r="J115" s="302">
        <f>+'Plan de Adquisiciones '!T157</f>
        <v>31500000</v>
      </c>
      <c r="K115" s="298">
        <v>0</v>
      </c>
      <c r="L115" s="299">
        <v>0</v>
      </c>
      <c r="M115" s="282" t="s">
        <v>617</v>
      </c>
      <c r="N115" s="278" t="s">
        <v>613</v>
      </c>
      <c r="O115" s="281" t="str">
        <f>+'Plan de Adquisiciones '!K157</f>
        <v xml:space="preserve"> Asesor Oficina Juridica</v>
      </c>
      <c r="P115" s="281">
        <v>2630603</v>
      </c>
      <c r="Q115" s="281" t="str">
        <f>+'Plan de Adquisiciones '!M157</f>
        <v xml:space="preserve"> adiazi@idep.edu.co</v>
      </c>
    </row>
    <row r="116" spans="1:17" ht="135" x14ac:dyDescent="0.25">
      <c r="A116" s="289">
        <f>+'Plan de Adquisiciones '!J158</f>
        <v>80111601</v>
      </c>
      <c r="B116" s="282" t="str">
        <f>+'Plan de Adquisiciones '!I158</f>
        <v>Prestación de servicios profesionales para apoyar el levantamiento y documentación de procesos, procedimientos, manuales, instructivos, formatos, riesgos, indicadores y demás documentos e instrumentos requeridos para los procesos de la Entidad, como parte de las estrategias de implementación, monitoreo, soporte y sostenibilidad del Sistema Integrado de Gestión SIG del IDEP en el marco de la norma NTD-SIG 001:2011.</v>
      </c>
      <c r="C116" s="301">
        <v>3</v>
      </c>
      <c r="D116" s="301">
        <v>3</v>
      </c>
      <c r="E116" s="301">
        <f>+'Plan de Adquisiciones '!O158</f>
        <v>2</v>
      </c>
      <c r="F116" s="301">
        <v>1</v>
      </c>
      <c r="G116" s="282" t="s">
        <v>570</v>
      </c>
      <c r="H116" s="289">
        <v>0</v>
      </c>
      <c r="I116" s="302">
        <f>+'Plan de Adquisiciones '!T158</f>
        <v>6000000</v>
      </c>
      <c r="J116" s="302">
        <f>+'Plan de Adquisiciones '!T158</f>
        <v>6000000</v>
      </c>
      <c r="K116" s="298">
        <v>0</v>
      </c>
      <c r="L116" s="299">
        <v>0</v>
      </c>
      <c r="M116" s="282" t="s">
        <v>617</v>
      </c>
      <c r="N116" s="278" t="s">
        <v>613</v>
      </c>
      <c r="O116" s="281" t="str">
        <f>+'Plan de Adquisiciones '!K158</f>
        <v>Jefe Oficina Asesora de Planeación</v>
      </c>
      <c r="P116" s="281">
        <v>2630603</v>
      </c>
      <c r="Q116" s="281" t="str">
        <f>+'Plan de Adquisiciones '!M158</f>
        <v xml:space="preserve"> olsanchez@idep.edu.co</v>
      </c>
    </row>
    <row r="117" spans="1:17" ht="180" x14ac:dyDescent="0.25">
      <c r="A117" s="282" t="str">
        <f>+'Plan de Adquisiciones '!J159</f>
        <v>43201834
 43201835
43211501
 43211502
 43222501
 43222502
 43233203
 43233204
81112210
81112301
 81112305
81112501</v>
      </c>
      <c r="B117" s="282" t="str">
        <f>+'Plan de Adquisiciones '!I159</f>
        <v>Prestación de servicios para el Suministro, instalación, configuración, licenciamiento, soporte técnico y puesta en marcha de una solución tecnológica Hiperconvergente</v>
      </c>
      <c r="C117" s="301">
        <v>5</v>
      </c>
      <c r="D117" s="301">
        <v>8</v>
      </c>
      <c r="E117" s="301">
        <v>12</v>
      </c>
      <c r="F117" s="301">
        <v>1</v>
      </c>
      <c r="G117" s="282" t="s">
        <v>574</v>
      </c>
      <c r="H117" s="289">
        <v>0</v>
      </c>
      <c r="I117" s="302">
        <f>+'Plan de Adquisiciones '!T159</f>
        <v>272545700</v>
      </c>
      <c r="J117" s="302">
        <f>+'Plan de Adquisiciones '!T159</f>
        <v>272545700</v>
      </c>
      <c r="K117" s="298">
        <v>0</v>
      </c>
      <c r="L117" s="299">
        <v>0</v>
      </c>
      <c r="M117" s="282" t="s">
        <v>617</v>
      </c>
      <c r="N117" s="278" t="s">
        <v>613</v>
      </c>
      <c r="O117" s="281" t="str">
        <f>+'Plan de Adquisiciones '!K159</f>
        <v>Jefe Oficina Asesora de Planeación</v>
      </c>
      <c r="P117" s="281">
        <v>2630603</v>
      </c>
      <c r="Q117" s="281" t="str">
        <f>+'Plan de Adquisiciones '!M159</f>
        <v xml:space="preserve"> olsanchez@idep.edu.co</v>
      </c>
    </row>
    <row r="118" spans="1:17" ht="75" x14ac:dyDescent="0.25">
      <c r="A118" s="289">
        <f>+'Plan de Adquisiciones '!J161</f>
        <v>80111600</v>
      </c>
      <c r="B118" s="282" t="str">
        <f>+'Plan de Adquisiciones '!I161</f>
        <v>Prestación de servicios profesionales para desarrollar acciones de  sostenibilidad, evaluación y seguimiento  del Sistema de Control Interno,  con el fin de promover  la eficacia y eficiencia de los  procesos del IDEP.</v>
      </c>
      <c r="C118" s="301">
        <v>3</v>
      </c>
      <c r="D118" s="301">
        <v>3</v>
      </c>
      <c r="E118" s="301">
        <f>+'Plan de Adquisiciones '!O161</f>
        <v>10</v>
      </c>
      <c r="F118" s="301">
        <v>1</v>
      </c>
      <c r="G118" s="282" t="s">
        <v>570</v>
      </c>
      <c r="H118" s="289">
        <v>0</v>
      </c>
      <c r="I118" s="302">
        <f>+'Plan de Adquisiciones '!T161</f>
        <v>33566280</v>
      </c>
      <c r="J118" s="302">
        <f>+'Plan de Adquisiciones '!T161</f>
        <v>33566280</v>
      </c>
      <c r="K118" s="298">
        <v>0</v>
      </c>
      <c r="L118" s="299">
        <v>0</v>
      </c>
      <c r="M118" s="282" t="s">
        <v>617</v>
      </c>
      <c r="N118" s="278" t="s">
        <v>613</v>
      </c>
      <c r="O118" s="281" t="str">
        <f>+'Plan de Adquisiciones '!K161</f>
        <v>Jefe Oficina Asesora de Planeación</v>
      </c>
      <c r="P118" s="281">
        <v>2630603</v>
      </c>
      <c r="Q118" s="281" t="str">
        <f>+'Plan de Adquisiciones '!M161</f>
        <v xml:space="preserve"> olsanchez@idep.edu.co</v>
      </c>
    </row>
    <row r="119" spans="1:17" ht="45" x14ac:dyDescent="0.25">
      <c r="A119" s="289">
        <f>+'Plan de Adquisiciones '!J162</f>
        <v>80111600</v>
      </c>
      <c r="B119" s="282" t="str">
        <f>+'Plan de Adquisiciones '!I162</f>
        <v>Prestación de servicios para apoyar en la organización del  archivo de la entidad como gestión dentro del subsistema de gestión documental</v>
      </c>
      <c r="C119" s="301">
        <v>3</v>
      </c>
      <c r="D119" s="301">
        <v>3</v>
      </c>
      <c r="E119" s="301">
        <f>+'Plan de Adquisiciones '!O162</f>
        <v>9</v>
      </c>
      <c r="F119" s="301">
        <v>1</v>
      </c>
      <c r="G119" s="282" t="s">
        <v>570</v>
      </c>
      <c r="H119" s="289">
        <v>0</v>
      </c>
      <c r="I119" s="302">
        <f>+'Plan de Adquisiciones '!T162</f>
        <v>19800000</v>
      </c>
      <c r="J119" s="302">
        <f>+'Plan de Adquisiciones '!T162</f>
        <v>19800000</v>
      </c>
      <c r="K119" s="298">
        <v>0</v>
      </c>
      <c r="L119" s="299">
        <v>0</v>
      </c>
      <c r="M119" s="282" t="s">
        <v>617</v>
      </c>
      <c r="N119" s="278" t="s">
        <v>613</v>
      </c>
      <c r="O119" s="281" t="str">
        <f>+'Plan de Adquisiciones '!K162</f>
        <v>Subdirector Administrativo</v>
      </c>
      <c r="P119" s="281">
        <v>2630603</v>
      </c>
      <c r="Q119" s="281" t="str">
        <f>+'Plan de Adquisiciones '!M162</f>
        <v xml:space="preserve"> olsanchez@idep.edu.co</v>
      </c>
    </row>
    <row r="120" spans="1:17" ht="90" x14ac:dyDescent="0.25">
      <c r="A120" s="289">
        <f>+'Plan de Adquisiciones '!J163</f>
        <v>80111600</v>
      </c>
      <c r="B120" s="282" t="str">
        <f>+'Plan de Adquisiciones '!I163</f>
        <v>Prestación de servicios profesionales para apoyar el monitoreo, soporte, mantenimiento y sostenibilidad de los sistemas de información y la infraestructura tecnológica del IDEP y la implementación del Subsistema de Seguridad de la Información que hace parte del Sistema Integrado de Gestión de la entidad.</v>
      </c>
      <c r="C120" s="301">
        <v>3</v>
      </c>
      <c r="D120" s="301">
        <v>3</v>
      </c>
      <c r="E120" s="301">
        <f>+'Plan de Adquisiciones '!O163</f>
        <v>10</v>
      </c>
      <c r="F120" s="301">
        <v>1</v>
      </c>
      <c r="G120" s="282" t="s">
        <v>570</v>
      </c>
      <c r="H120" s="289">
        <v>0</v>
      </c>
      <c r="I120" s="302">
        <f>+'Plan de Adquisiciones '!T163</f>
        <v>53547520</v>
      </c>
      <c r="J120" s="302">
        <f>+'Plan de Adquisiciones '!T163</f>
        <v>53547520</v>
      </c>
      <c r="K120" s="298">
        <v>0</v>
      </c>
      <c r="L120" s="299">
        <v>0</v>
      </c>
      <c r="M120" s="282" t="s">
        <v>617</v>
      </c>
      <c r="N120" s="278" t="s">
        <v>613</v>
      </c>
      <c r="O120" s="281" t="str">
        <f>+'Plan de Adquisiciones '!K163</f>
        <v>Jefe Oficina Asesora de Planeación</v>
      </c>
      <c r="P120" s="281">
        <v>2630603</v>
      </c>
      <c r="Q120" s="281" t="str">
        <f>+'Plan de Adquisiciones '!M163</f>
        <v xml:space="preserve"> olsanchez@idep.edu.co</v>
      </c>
    </row>
    <row r="121" spans="1:17" ht="45" x14ac:dyDescent="0.25">
      <c r="A121" s="289">
        <f>+'Plan de Adquisiciones '!J166</f>
        <v>80111600</v>
      </c>
      <c r="B121" s="282" t="str">
        <f>+'Plan de Adquisiciones '!I166</f>
        <v>Prestar servicios profesionales para apoyar en la gestión de los procesos asociados con el área de Talento Humano de la entidad.</v>
      </c>
      <c r="C121" s="301">
        <v>3</v>
      </c>
      <c r="D121" s="301">
        <v>3</v>
      </c>
      <c r="E121" s="301">
        <f>+'Plan de Adquisiciones '!O166</f>
        <v>11</v>
      </c>
      <c r="F121" s="301">
        <v>1</v>
      </c>
      <c r="G121" s="282" t="s">
        <v>570</v>
      </c>
      <c r="H121" s="289">
        <v>0</v>
      </c>
      <c r="I121" s="302">
        <f>+'Plan de Adquisiciones '!T166</f>
        <v>39600000</v>
      </c>
      <c r="J121" s="302">
        <f>+'Plan de Adquisiciones '!T166</f>
        <v>39600000</v>
      </c>
      <c r="K121" s="298">
        <v>0</v>
      </c>
      <c r="L121" s="299">
        <v>0</v>
      </c>
      <c r="M121" s="282" t="s">
        <v>617</v>
      </c>
      <c r="N121" s="278" t="s">
        <v>613</v>
      </c>
      <c r="O121" s="281" t="str">
        <f>+'Plan de Adquisiciones '!K166</f>
        <v>Subdirector Administrativo</v>
      </c>
      <c r="P121" s="281">
        <v>2630603</v>
      </c>
      <c r="Q121" s="281" t="str">
        <f>+'Plan de Adquisiciones '!M166</f>
        <v>cplazas@idep.edu.co</v>
      </c>
    </row>
    <row r="122" spans="1:17" ht="60" x14ac:dyDescent="0.25">
      <c r="A122" s="289">
        <f>+'Plan de Adquisiciones '!J168</f>
        <v>80111600</v>
      </c>
      <c r="B122" s="282" t="str">
        <f>+'Plan de Adquisiciones '!I168</f>
        <v>Prestación de servicios para apoyar el seguimiento a planes de mejoramiento, programas e indicadores de la subdirección Administrativa, Financiera y de Control Disciplinario.</v>
      </c>
      <c r="C122" s="301">
        <v>5</v>
      </c>
      <c r="D122" s="301">
        <v>5</v>
      </c>
      <c r="E122" s="301">
        <f>+'Plan de Adquisiciones '!O168</f>
        <v>6</v>
      </c>
      <c r="F122" s="301">
        <v>1</v>
      </c>
      <c r="G122" s="282" t="s">
        <v>570</v>
      </c>
      <c r="H122" s="289">
        <v>0</v>
      </c>
      <c r="I122" s="302">
        <f>+'Plan de Adquisiciones '!T168</f>
        <v>20400000</v>
      </c>
      <c r="J122" s="302">
        <f>+'Plan de Adquisiciones '!T168</f>
        <v>20400000</v>
      </c>
      <c r="K122" s="298">
        <v>0</v>
      </c>
      <c r="L122" s="299">
        <v>0</v>
      </c>
      <c r="M122" s="282" t="s">
        <v>617</v>
      </c>
      <c r="N122" s="278" t="s">
        <v>613</v>
      </c>
      <c r="O122" s="281" t="str">
        <f>+'Plan de Adquisiciones '!K168</f>
        <v>Subdirector Administrativo</v>
      </c>
      <c r="P122" s="281">
        <v>2630603</v>
      </c>
      <c r="Q122" s="281" t="str">
        <f>+'Plan de Adquisiciones '!M168</f>
        <v xml:space="preserve"> cplazas@idep.edu.co</v>
      </c>
    </row>
    <row r="123" spans="1:17" ht="75" x14ac:dyDescent="0.25">
      <c r="A123" s="289">
        <f>+'Plan de Adquisiciones '!J169</f>
        <v>80111600</v>
      </c>
      <c r="B123" s="282" t="str">
        <f>+'Plan de Adquisiciones '!I169</f>
        <v>Prestación de servicios para identificar, evaluar, prevenir, intervenir y monitorear la exposición a factores de riesgo psicosocial en el trabajo, en el marco de la implementación del Sistema de Seguridad y Salud en el trabajo</v>
      </c>
      <c r="C123" s="301">
        <v>7</v>
      </c>
      <c r="D123" s="301">
        <v>7</v>
      </c>
      <c r="E123" s="301">
        <f>+'Plan de Adquisiciones '!O169</f>
        <v>1</v>
      </c>
      <c r="F123" s="301">
        <v>1</v>
      </c>
      <c r="G123" s="282" t="s">
        <v>569</v>
      </c>
      <c r="H123" s="289">
        <v>0</v>
      </c>
      <c r="I123" s="302">
        <f>+'Plan de Adquisiciones '!T169</f>
        <v>1695000</v>
      </c>
      <c r="J123" s="302">
        <f>+'Plan de Adquisiciones '!T169</f>
        <v>1695000</v>
      </c>
      <c r="K123" s="298">
        <v>0</v>
      </c>
      <c r="L123" s="299">
        <v>0</v>
      </c>
      <c r="M123" s="282" t="s">
        <v>617</v>
      </c>
      <c r="N123" s="278" t="s">
        <v>613</v>
      </c>
      <c r="O123" s="281" t="str">
        <f>+'Plan de Adquisiciones '!K169</f>
        <v>Subdirector Administrativo</v>
      </c>
      <c r="P123" s="281">
        <v>2630603</v>
      </c>
      <c r="Q123" s="281" t="str">
        <f>+'Plan de Adquisiciones '!M169</f>
        <v xml:space="preserve"> cplazas@idep.edu.co</v>
      </c>
    </row>
    <row r="124" spans="1:17" ht="60" x14ac:dyDescent="0.25">
      <c r="A124" s="289">
        <f>+'Plan de Adquisiciones '!J171</f>
        <v>80111600</v>
      </c>
      <c r="B124" s="282" t="str">
        <f>+'Plan de Adquisiciones '!I171</f>
        <v>Prestacion de servicios profesionales para apoyar y gestionar las actividades relacionadas con el subsistema de Gestión Ambiental, y Seguridad y Salud en el Trabajo</v>
      </c>
      <c r="C124" s="301">
        <v>4</v>
      </c>
      <c r="D124" s="301">
        <v>4</v>
      </c>
      <c r="E124" s="301">
        <f>+'Plan de Adquisiciones '!O171</f>
        <v>9</v>
      </c>
      <c r="F124" s="301">
        <v>1</v>
      </c>
      <c r="G124" s="282" t="s">
        <v>570</v>
      </c>
      <c r="H124" s="289">
        <v>0</v>
      </c>
      <c r="I124" s="302">
        <f>+'Plan de Adquisiciones '!T171</f>
        <v>30033333</v>
      </c>
      <c r="J124" s="302">
        <f>+'Plan de Adquisiciones '!T171</f>
        <v>30033333</v>
      </c>
      <c r="K124" s="298">
        <v>0</v>
      </c>
      <c r="L124" s="299">
        <v>0</v>
      </c>
      <c r="M124" s="282" t="s">
        <v>617</v>
      </c>
      <c r="N124" s="278" t="s">
        <v>613</v>
      </c>
      <c r="O124" s="281" t="str">
        <f>+'Plan de Adquisiciones '!K171</f>
        <v>Subdirector Administrativo</v>
      </c>
      <c r="P124" s="281">
        <v>2630603</v>
      </c>
      <c r="Q124" s="281" t="str">
        <f>+'Plan de Adquisiciones '!M171</f>
        <v>cplazas@idep.edu.co</v>
      </c>
    </row>
  </sheetData>
  <autoFilter ref="A4:Q124"/>
  <mergeCells count="1">
    <mergeCell ref="A1:Q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29"/>
  <sheetViews>
    <sheetView topLeftCell="A19" workbookViewId="0">
      <selection activeCell="G30" sqref="G30"/>
    </sheetView>
  </sheetViews>
  <sheetFormatPr baseColWidth="10" defaultRowHeight="15" x14ac:dyDescent="0.25"/>
  <cols>
    <col min="3" max="3" width="16.85546875" customWidth="1"/>
    <col min="4" max="4" width="20.42578125" customWidth="1"/>
    <col min="5" max="5" width="23.140625" customWidth="1"/>
  </cols>
  <sheetData>
    <row r="3" spans="3:5" ht="15.75" thickBot="1" x14ac:dyDescent="0.3"/>
    <row r="4" spans="3:5" ht="17.25" customHeight="1" thickBot="1" x14ac:dyDescent="0.3">
      <c r="C4" s="313" t="s">
        <v>0</v>
      </c>
      <c r="D4" s="314" t="s">
        <v>623</v>
      </c>
      <c r="E4" s="314" t="s">
        <v>624</v>
      </c>
    </row>
    <row r="5" spans="3:5" ht="75.75" customHeight="1" thickBot="1" x14ac:dyDescent="0.3">
      <c r="C5" s="315" t="s">
        <v>625</v>
      </c>
      <c r="D5" s="316" t="s">
        <v>626</v>
      </c>
      <c r="E5" s="317" t="s">
        <v>627</v>
      </c>
    </row>
    <row r="6" spans="3:5" ht="45" customHeight="1" thickBot="1" x14ac:dyDescent="0.3">
      <c r="C6" s="315" t="s">
        <v>628</v>
      </c>
      <c r="D6" s="316" t="s">
        <v>626</v>
      </c>
      <c r="E6" s="318" t="s">
        <v>629</v>
      </c>
    </row>
    <row r="7" spans="3:5" ht="63.75" customHeight="1" x14ac:dyDescent="0.25">
      <c r="C7" s="319" t="s">
        <v>630</v>
      </c>
      <c r="D7" s="320" t="s">
        <v>631</v>
      </c>
      <c r="E7" s="320" t="s">
        <v>632</v>
      </c>
    </row>
    <row r="8" spans="3:5" ht="75" customHeight="1" thickBot="1" x14ac:dyDescent="0.3">
      <c r="C8" s="321" t="s">
        <v>633</v>
      </c>
      <c r="D8" s="322" t="s">
        <v>634</v>
      </c>
      <c r="E8" s="323" t="s">
        <v>635</v>
      </c>
    </row>
    <row r="9" spans="3:5" s="6" customFormat="1" ht="35.25" customHeight="1" thickBot="1" x14ac:dyDescent="0.3">
      <c r="C9" s="324" t="s">
        <v>0</v>
      </c>
      <c r="D9" s="325" t="s">
        <v>623</v>
      </c>
      <c r="E9" s="325" t="s">
        <v>624</v>
      </c>
    </row>
    <row r="10" spans="3:5" ht="45.75" thickBot="1" x14ac:dyDescent="0.3">
      <c r="C10" s="326" t="s">
        <v>636</v>
      </c>
      <c r="D10" s="327" t="s">
        <v>637</v>
      </c>
      <c r="E10" s="328" t="s">
        <v>629</v>
      </c>
    </row>
    <row r="11" spans="3:5" ht="50.25" customHeight="1" x14ac:dyDescent="0.25">
      <c r="C11" s="1029" t="s">
        <v>638</v>
      </c>
      <c r="D11" s="329" t="s">
        <v>639</v>
      </c>
      <c r="E11" s="1031" t="s">
        <v>640</v>
      </c>
    </row>
    <row r="12" spans="3:5" ht="15.75" thickBot="1" x14ac:dyDescent="0.3">
      <c r="C12" s="1030"/>
      <c r="D12" s="330">
        <v>0.58333333333333337</v>
      </c>
      <c r="E12" s="1032"/>
    </row>
    <row r="13" spans="3:5" ht="42" thickBot="1" x14ac:dyDescent="0.3">
      <c r="C13" s="326" t="s">
        <v>641</v>
      </c>
      <c r="D13" s="327" t="s">
        <v>642</v>
      </c>
      <c r="E13" s="331" t="s">
        <v>643</v>
      </c>
    </row>
    <row r="14" spans="3:5" ht="58.5" thickBot="1" x14ac:dyDescent="0.3">
      <c r="C14" s="326" t="s">
        <v>644</v>
      </c>
      <c r="D14" s="327" t="s">
        <v>645</v>
      </c>
      <c r="E14" s="327" t="s">
        <v>646</v>
      </c>
    </row>
    <row r="15" spans="3:5" s="6" customFormat="1" ht="36" customHeight="1" thickBot="1" x14ac:dyDescent="0.3">
      <c r="C15" s="313" t="s">
        <v>0</v>
      </c>
      <c r="D15" s="314" t="s">
        <v>623</v>
      </c>
      <c r="E15" s="332" t="s">
        <v>624</v>
      </c>
    </row>
    <row r="16" spans="3:5" ht="45.75" thickBot="1" x14ac:dyDescent="0.3">
      <c r="C16" s="315" t="s">
        <v>647</v>
      </c>
      <c r="D16" s="316" t="s">
        <v>648</v>
      </c>
      <c r="E16" s="333" t="s">
        <v>635</v>
      </c>
    </row>
    <row r="17" spans="3:5" ht="23.25" thickBot="1" x14ac:dyDescent="0.3">
      <c r="C17" s="315" t="s">
        <v>649</v>
      </c>
      <c r="D17" s="316" t="s">
        <v>650</v>
      </c>
      <c r="E17" s="333" t="s">
        <v>629</v>
      </c>
    </row>
    <row r="18" spans="3:5" ht="58.5" thickBot="1" x14ac:dyDescent="0.3">
      <c r="C18" s="334" t="s">
        <v>651</v>
      </c>
      <c r="D18" s="335" t="s">
        <v>652</v>
      </c>
      <c r="E18" s="316" t="s">
        <v>653</v>
      </c>
    </row>
    <row r="19" spans="3:5" ht="44.25" customHeight="1" x14ac:dyDescent="0.25">
      <c r="C19" s="1033" t="s">
        <v>654</v>
      </c>
      <c r="D19" s="1035" t="s">
        <v>655</v>
      </c>
      <c r="E19" s="1037" t="s">
        <v>629</v>
      </c>
    </row>
    <row r="20" spans="3:5" ht="15.75" thickBot="1" x14ac:dyDescent="0.3">
      <c r="C20" s="1034"/>
      <c r="D20" s="1036"/>
      <c r="E20" s="1038"/>
    </row>
    <row r="21" spans="3:5" ht="45.75" thickBot="1" x14ac:dyDescent="0.3">
      <c r="C21" s="315" t="s">
        <v>656</v>
      </c>
      <c r="D21" s="316" t="s">
        <v>657</v>
      </c>
      <c r="E21" s="318" t="s">
        <v>629</v>
      </c>
    </row>
    <row r="22" spans="3:5" s="6" customFormat="1" ht="15.75" thickBot="1" x14ac:dyDescent="0.3">
      <c r="C22" s="324" t="s">
        <v>0</v>
      </c>
      <c r="D22" s="325" t="s">
        <v>623</v>
      </c>
      <c r="E22" s="325" t="s">
        <v>624</v>
      </c>
    </row>
    <row r="23" spans="3:5" ht="50.25" thickBot="1" x14ac:dyDescent="0.3">
      <c r="C23" s="326" t="s">
        <v>658</v>
      </c>
      <c r="D23" s="327" t="s">
        <v>659</v>
      </c>
      <c r="E23" s="327" t="s">
        <v>660</v>
      </c>
    </row>
    <row r="24" spans="3:5" ht="23.25" thickBot="1" x14ac:dyDescent="0.3">
      <c r="C24" s="326" t="s">
        <v>661</v>
      </c>
      <c r="D24" s="327" t="s">
        <v>662</v>
      </c>
      <c r="E24" s="336" t="s">
        <v>663</v>
      </c>
    </row>
    <row r="25" spans="3:5" ht="33.75" thickBot="1" x14ac:dyDescent="0.3">
      <c r="C25" s="326" t="s">
        <v>664</v>
      </c>
      <c r="D25" s="337" t="s">
        <v>665</v>
      </c>
      <c r="E25" s="327" t="s">
        <v>640</v>
      </c>
    </row>
    <row r="26" spans="3:5" ht="33.75" customHeight="1" x14ac:dyDescent="0.25">
      <c r="C26" s="1029" t="s">
        <v>666</v>
      </c>
      <c r="D26" s="1031" t="s">
        <v>667</v>
      </c>
      <c r="E26" s="1031" t="s">
        <v>668</v>
      </c>
    </row>
    <row r="27" spans="3:5" ht="15.75" thickBot="1" x14ac:dyDescent="0.3">
      <c r="C27" s="1030"/>
      <c r="D27" s="1032"/>
      <c r="E27" s="1032"/>
    </row>
    <row r="28" spans="3:5" ht="24.75" x14ac:dyDescent="0.25">
      <c r="C28" s="1029" t="s">
        <v>669</v>
      </c>
      <c r="D28" s="329" t="s">
        <v>670</v>
      </c>
      <c r="E28" s="329" t="s">
        <v>672</v>
      </c>
    </row>
    <row r="29" spans="3:5" ht="30.75" customHeight="1" thickBot="1" x14ac:dyDescent="0.3">
      <c r="C29" s="1030"/>
      <c r="D29" s="327" t="s">
        <v>671</v>
      </c>
      <c r="E29" s="336" t="s">
        <v>673</v>
      </c>
    </row>
  </sheetData>
  <mergeCells count="9">
    <mergeCell ref="C28:C29"/>
    <mergeCell ref="C11:C12"/>
    <mergeCell ref="E11:E12"/>
    <mergeCell ref="C19:C20"/>
    <mergeCell ref="D19:D20"/>
    <mergeCell ref="E19:E20"/>
    <mergeCell ref="C26:C27"/>
    <mergeCell ref="D26:D27"/>
    <mergeCell ref="E26:E27"/>
  </mergeCells>
  <hyperlinks>
    <hyperlink ref="E10" r:id="rId1" display="http://www.contratos.gov.co/"/>
    <hyperlink ref="E16" r:id="rId2" display="http://www.contratos.gov.co/"/>
    <hyperlink ref="E17" r:id="rId3" display="http://www.contratos.gov.co/"/>
    <hyperlink ref="E19" r:id="rId4" display="http://www.contratos.gov.co/"/>
    <hyperlink ref="E21" r:id="rId5" display="http://www.contratos.gov.co/"/>
    <hyperlink ref="E24" r:id="rId6" display="http://www.contratos.gov.co/"/>
    <hyperlink ref="E29" r:id="rId7" display="http://www.contratos.gov.co/"/>
    <hyperlink ref="E8" r:id="rId8" display="http://www.contratos.gov.co/"/>
    <hyperlink ref="E6" r:id="rId9" display="http://www.contratos.gov.co/"/>
    <hyperlink ref="E5" r:id="rId10" display="http://www.contratos.gov.co/"/>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27"/>
  <sheetViews>
    <sheetView topLeftCell="A10" workbookViewId="0">
      <selection activeCell="A12" sqref="A12:D15"/>
    </sheetView>
  </sheetViews>
  <sheetFormatPr baseColWidth="10" defaultRowHeight="15" x14ac:dyDescent="0.25"/>
  <cols>
    <col min="1" max="1" width="29.85546875" customWidth="1"/>
    <col min="2" max="2" width="14" bestFit="1" customWidth="1"/>
    <col min="3" max="3" width="14.42578125" customWidth="1"/>
    <col min="6" max="6" width="17.28515625" customWidth="1"/>
    <col min="7" max="7" width="6.140625" customWidth="1"/>
    <col min="8" max="8" width="23" customWidth="1"/>
    <col min="9" max="9" width="17.5703125" customWidth="1"/>
    <col min="10" max="10" width="16.140625" customWidth="1"/>
    <col min="13" max="13" width="31.28515625" customWidth="1"/>
    <col min="14" max="14" width="18.85546875" customWidth="1"/>
    <col min="15" max="15" width="13.85546875" bestFit="1" customWidth="1"/>
  </cols>
  <sheetData>
    <row r="2" spans="1:11" x14ac:dyDescent="0.25">
      <c r="A2" s="1039" t="s">
        <v>680</v>
      </c>
      <c r="B2" s="1039"/>
      <c r="C2" s="1039"/>
      <c r="D2" s="1039"/>
    </row>
    <row r="3" spans="1:11" x14ac:dyDescent="0.25">
      <c r="A3" s="350" t="s">
        <v>25</v>
      </c>
      <c r="B3" s="350" t="s">
        <v>674</v>
      </c>
      <c r="C3" s="350" t="s">
        <v>675</v>
      </c>
      <c r="D3" s="350" t="s">
        <v>679</v>
      </c>
    </row>
    <row r="4" spans="1:11" ht="56.25" customHeight="1" x14ac:dyDescent="0.25">
      <c r="A4" s="338" t="s">
        <v>40</v>
      </c>
      <c r="B4" s="339">
        <f>220080968+36790287</f>
        <v>256871255</v>
      </c>
      <c r="C4" s="347">
        <f>+B4</f>
        <v>256871255</v>
      </c>
      <c r="D4" s="349">
        <f t="shared" ref="D4:D11" si="0">+C4/B4</f>
        <v>1</v>
      </c>
    </row>
    <row r="5" spans="1:11" ht="45" customHeight="1" x14ac:dyDescent="0.25">
      <c r="A5" s="341" t="s">
        <v>676</v>
      </c>
      <c r="B5" s="342">
        <f>501672040+57456686</f>
        <v>559128726</v>
      </c>
      <c r="C5" s="348">
        <v>525931461</v>
      </c>
      <c r="D5" s="349">
        <f t="shared" si="0"/>
        <v>0.94062679405243077</v>
      </c>
    </row>
    <row r="6" spans="1:11" ht="102" x14ac:dyDescent="0.25">
      <c r="A6" s="346" t="s">
        <v>332</v>
      </c>
      <c r="B6" s="342">
        <f>50000000+50000000</f>
        <v>100000000</v>
      </c>
      <c r="C6" s="347">
        <v>50480000</v>
      </c>
      <c r="D6" s="349">
        <f t="shared" si="0"/>
        <v>0.50480000000000003</v>
      </c>
    </row>
    <row r="7" spans="1:11" ht="38.25" x14ac:dyDescent="0.25">
      <c r="A7" s="343" t="s">
        <v>367</v>
      </c>
      <c r="B7" s="342">
        <v>133000000</v>
      </c>
      <c r="C7" s="347">
        <v>133000000</v>
      </c>
      <c r="D7" s="349">
        <f t="shared" si="0"/>
        <v>1</v>
      </c>
    </row>
    <row r="8" spans="1:11" ht="51" x14ac:dyDescent="0.25">
      <c r="A8" s="343" t="s">
        <v>677</v>
      </c>
      <c r="B8" s="342">
        <v>731000000</v>
      </c>
      <c r="C8" s="347">
        <v>681480000</v>
      </c>
      <c r="D8" s="349">
        <f t="shared" si="0"/>
        <v>0.93225718194254448</v>
      </c>
    </row>
    <row r="9" spans="1:11" ht="25.5" customHeight="1" x14ac:dyDescent="0.25">
      <c r="A9" s="338" t="s">
        <v>108</v>
      </c>
      <c r="B9" s="344">
        <f>80206973+5753027+8000000</f>
        <v>93960000</v>
      </c>
      <c r="C9" s="347">
        <v>87115250</v>
      </c>
      <c r="D9" s="349">
        <f t="shared" si="0"/>
        <v>0.92715251170710944</v>
      </c>
    </row>
    <row r="10" spans="1:11" ht="102" customHeight="1" x14ac:dyDescent="0.25">
      <c r="A10" s="338" t="s">
        <v>678</v>
      </c>
      <c r="B10" s="344">
        <f>282098529+13295908-4000000</f>
        <v>291394437</v>
      </c>
      <c r="C10" s="347">
        <v>290607147</v>
      </c>
      <c r="D10" s="349">
        <f t="shared" si="0"/>
        <v>0.9972981982494058</v>
      </c>
      <c r="E10" s="6"/>
    </row>
    <row r="11" spans="1:11" x14ac:dyDescent="0.25">
      <c r="A11" s="345" t="s">
        <v>110</v>
      </c>
      <c r="B11" s="344">
        <f>18941490-13295908-4000000</f>
        <v>1645582</v>
      </c>
      <c r="C11" s="347">
        <v>1645582</v>
      </c>
      <c r="D11" s="349">
        <f t="shared" si="0"/>
        <v>1</v>
      </c>
      <c r="E11" s="6"/>
      <c r="H11" s="1039" t="s">
        <v>684</v>
      </c>
      <c r="I11" s="1039"/>
      <c r="J11" s="1039"/>
      <c r="K11" s="1039"/>
    </row>
    <row r="12" spans="1:11" x14ac:dyDescent="0.25">
      <c r="A12" s="1039" t="s">
        <v>686</v>
      </c>
      <c r="B12" s="1039"/>
      <c r="C12" s="1039"/>
      <c r="D12" s="1039"/>
      <c r="E12" s="6"/>
      <c r="H12" s="129" t="s">
        <v>25</v>
      </c>
      <c r="I12" s="129" t="s">
        <v>674</v>
      </c>
      <c r="J12" s="129" t="s">
        <v>675</v>
      </c>
      <c r="K12" s="129" t="s">
        <v>679</v>
      </c>
    </row>
    <row r="13" spans="1:11" ht="36.75" customHeight="1" x14ac:dyDescent="0.25">
      <c r="A13" s="129" t="s">
        <v>25</v>
      </c>
      <c r="B13" s="129" t="s">
        <v>674</v>
      </c>
      <c r="C13" s="129" t="s">
        <v>675</v>
      </c>
      <c r="D13" s="129" t="s">
        <v>679</v>
      </c>
      <c r="H13" s="343" t="s">
        <v>43</v>
      </c>
      <c r="I13" s="339">
        <f>150000000-101310678</f>
        <v>48689322</v>
      </c>
      <c r="J13" s="340">
        <f>+I13</f>
        <v>48689322</v>
      </c>
      <c r="K13" s="359">
        <f>+J13/I13</f>
        <v>1</v>
      </c>
    </row>
    <row r="14" spans="1:11" ht="75.75" customHeight="1" x14ac:dyDescent="0.25">
      <c r="A14" s="362" t="s">
        <v>685</v>
      </c>
      <c r="B14" s="361">
        <v>617748114</v>
      </c>
      <c r="C14" s="360">
        <v>339789877</v>
      </c>
      <c r="D14" s="359">
        <f>+C14/B14</f>
        <v>0.55004599657911701</v>
      </c>
      <c r="H14" s="343" t="s">
        <v>681</v>
      </c>
      <c r="I14" s="351">
        <v>1219839666</v>
      </c>
      <c r="J14" s="340">
        <v>1215442190</v>
      </c>
      <c r="K14" s="359">
        <f t="shared" ref="K14:K22" si="1">+J14/I14</f>
        <v>0.99639503770653737</v>
      </c>
    </row>
    <row r="15" spans="1:11" ht="63" customHeight="1" x14ac:dyDescent="0.25">
      <c r="A15" s="362" t="s">
        <v>107</v>
      </c>
      <c r="B15" s="361">
        <f>93712624+17474886-7912624</f>
        <v>103274886</v>
      </c>
      <c r="C15" s="360">
        <v>100743333</v>
      </c>
      <c r="D15" s="359">
        <f>+C15/B15</f>
        <v>0.97548723510573521</v>
      </c>
      <c r="H15" s="352" t="s">
        <v>204</v>
      </c>
      <c r="I15" s="339">
        <v>650000000</v>
      </c>
      <c r="J15" s="339">
        <v>650000000</v>
      </c>
      <c r="K15" s="359">
        <f t="shared" si="1"/>
        <v>1</v>
      </c>
    </row>
    <row r="16" spans="1:11" ht="36" customHeight="1" x14ac:dyDescent="0.25">
      <c r="A16" s="356"/>
      <c r="B16" s="357"/>
      <c r="H16" s="352" t="s">
        <v>111</v>
      </c>
      <c r="I16" s="339">
        <f>100000000+67471012</f>
        <v>167471012</v>
      </c>
      <c r="J16" s="339">
        <f>+I16</f>
        <v>167471012</v>
      </c>
      <c r="K16" s="359">
        <f t="shared" si="1"/>
        <v>1</v>
      </c>
    </row>
    <row r="17" spans="1:11" ht="73.5" customHeight="1" x14ac:dyDescent="0.25">
      <c r="A17" s="356"/>
      <c r="B17" s="357"/>
      <c r="H17" s="352" t="s">
        <v>348</v>
      </c>
      <c r="I17" s="339">
        <v>100000000</v>
      </c>
      <c r="J17" s="339">
        <v>100000000</v>
      </c>
      <c r="K17" s="359">
        <f t="shared" si="1"/>
        <v>1</v>
      </c>
    </row>
    <row r="18" spans="1:11" ht="30.75" customHeight="1" x14ac:dyDescent="0.25">
      <c r="A18" s="358"/>
      <c r="B18" s="358"/>
      <c r="H18" s="353" t="s">
        <v>112</v>
      </c>
      <c r="I18" s="344">
        <f>93726973+5753027</f>
        <v>99480000</v>
      </c>
      <c r="J18" s="354">
        <v>95635250</v>
      </c>
      <c r="K18" s="359">
        <f t="shared" si="1"/>
        <v>0.96135152794531564</v>
      </c>
    </row>
    <row r="19" spans="1:11" ht="32.25" customHeight="1" x14ac:dyDescent="0.25">
      <c r="A19" s="358"/>
      <c r="B19" s="358"/>
      <c r="H19" s="353" t="s">
        <v>682</v>
      </c>
      <c r="I19" s="344">
        <f>324428927+21630046+247380</f>
        <v>346306353</v>
      </c>
      <c r="J19" s="355">
        <v>346306353</v>
      </c>
      <c r="K19" s="359">
        <f t="shared" si="1"/>
        <v>1</v>
      </c>
    </row>
    <row r="20" spans="1:11" ht="39.75" customHeight="1" x14ac:dyDescent="0.25">
      <c r="A20" s="358"/>
      <c r="B20" s="358"/>
      <c r="H20" s="353" t="s">
        <v>683</v>
      </c>
      <c r="I20" s="344">
        <f>52248000-247380</f>
        <v>52000620</v>
      </c>
      <c r="J20" s="355">
        <f>+I20</f>
        <v>52000620</v>
      </c>
      <c r="K20" s="359">
        <f t="shared" si="1"/>
        <v>1</v>
      </c>
    </row>
    <row r="21" spans="1:11" ht="24.75" customHeight="1" x14ac:dyDescent="0.25">
      <c r="A21" s="358"/>
      <c r="B21" s="358"/>
      <c r="H21" s="353" t="s">
        <v>114</v>
      </c>
      <c r="I21" s="344">
        <f>29596100-27383073</f>
        <v>2213027</v>
      </c>
      <c r="J21" s="355">
        <f>+I21</f>
        <v>2213027</v>
      </c>
      <c r="K21" s="359">
        <f t="shared" si="1"/>
        <v>1</v>
      </c>
    </row>
    <row r="22" spans="1:11" ht="12" customHeight="1" x14ac:dyDescent="0.25">
      <c r="A22" s="358"/>
      <c r="B22" s="358"/>
      <c r="H22" s="353" t="s">
        <v>356</v>
      </c>
      <c r="I22" s="344">
        <f>+J22</f>
        <v>845891900</v>
      </c>
      <c r="J22" s="355">
        <f>400000000+445891900</f>
        <v>845891900</v>
      </c>
      <c r="K22" s="359">
        <f t="shared" si="1"/>
        <v>1</v>
      </c>
    </row>
    <row r="23" spans="1:11" x14ac:dyDescent="0.25">
      <c r="A23" s="274"/>
      <c r="B23" s="274"/>
    </row>
    <row r="24" spans="1:11" x14ac:dyDescent="0.25">
      <c r="A24" s="274"/>
      <c r="B24" s="274"/>
    </row>
    <row r="27" spans="1:11" ht="99.75" customHeight="1" x14ac:dyDescent="0.25"/>
  </sheetData>
  <mergeCells count="3">
    <mergeCell ref="A12:D12"/>
    <mergeCell ref="H11:K11"/>
    <mergeCell ref="A2:D2"/>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opLeftCell="B1" workbookViewId="0">
      <selection activeCell="M22" sqref="M22"/>
    </sheetView>
  </sheetViews>
  <sheetFormatPr baseColWidth="10" defaultRowHeight="15" x14ac:dyDescent="0.25"/>
  <cols>
    <col min="1" max="1" width="26.5703125" customWidth="1"/>
    <col min="2" max="2" width="22.42578125" customWidth="1"/>
    <col min="3" max="3" width="12.5703125" style="144" customWidth="1"/>
    <col min="4" max="4" width="8.85546875" customWidth="1"/>
    <col min="5" max="5" width="12.5703125" style="144" customWidth="1"/>
    <col min="6" max="6" width="8.85546875" customWidth="1"/>
    <col min="7" max="7" width="11" style="144" customWidth="1"/>
    <col min="8" max="8" width="8.85546875" customWidth="1"/>
    <col min="9" max="9" width="10" style="144" customWidth="1"/>
    <col min="10" max="10" width="8.85546875" customWidth="1"/>
    <col min="11" max="11" width="10" style="144" customWidth="1"/>
    <col min="12" max="12" width="8.85546875" customWidth="1"/>
    <col min="13" max="13" width="15.42578125" style="144" customWidth="1"/>
    <col min="14" max="14" width="8.85546875" customWidth="1"/>
    <col min="15" max="15" width="11" style="144" customWidth="1"/>
    <col min="16" max="16" width="8.85546875" customWidth="1"/>
    <col min="17" max="17" width="10" style="144" customWidth="1"/>
    <col min="18" max="18" width="8.85546875" customWidth="1"/>
    <col min="19" max="19" width="8" style="144" customWidth="1"/>
    <col min="20" max="20" width="11" customWidth="1"/>
    <col min="21" max="21" width="8" style="144" customWidth="1"/>
    <col min="22" max="22" width="13.7109375" customWidth="1"/>
    <col min="23" max="23" width="11" style="144" customWidth="1"/>
    <col min="24" max="38" width="10.7109375" customWidth="1"/>
    <col min="39" max="39" width="11" customWidth="1"/>
    <col min="40" max="40" width="12.5703125" customWidth="1"/>
    <col min="41" max="76" width="10.7109375" customWidth="1"/>
    <col min="77" max="77" width="11" customWidth="1"/>
    <col min="78" max="78" width="13.7109375" bestFit="1" customWidth="1"/>
    <col min="79" max="79" width="11" customWidth="1"/>
  </cols>
  <sheetData>
    <row r="1" spans="1:25" s="6" customFormat="1" x14ac:dyDescent="0.25">
      <c r="A1" s="1040" t="s">
        <v>499</v>
      </c>
      <c r="B1" s="1040"/>
      <c r="C1" s="1040"/>
      <c r="D1" s="1040"/>
      <c r="E1" s="1040"/>
      <c r="F1" s="1040"/>
      <c r="G1" s="1040"/>
      <c r="H1" s="1040"/>
      <c r="I1" s="1040"/>
      <c r="K1" s="144"/>
      <c r="M1" s="144"/>
      <c r="O1" s="144"/>
      <c r="Q1" s="144"/>
      <c r="S1" s="144"/>
      <c r="U1" s="144"/>
      <c r="W1" s="144"/>
    </row>
    <row r="2" spans="1:25" s="6" customFormat="1" x14ac:dyDescent="0.25">
      <c r="A2" s="139"/>
      <c r="B2" s="139"/>
      <c r="C2" s="143"/>
      <c r="D2" s="139"/>
      <c r="E2" s="143"/>
      <c r="F2" s="139"/>
      <c r="G2" s="143"/>
      <c r="H2" s="139"/>
      <c r="I2" s="143"/>
      <c r="K2" s="144"/>
      <c r="M2" s="144"/>
      <c r="O2" s="144"/>
      <c r="Q2" s="144"/>
      <c r="S2" s="144"/>
      <c r="U2" s="144"/>
      <c r="W2" s="144"/>
    </row>
    <row r="3" spans="1:25" s="6" customFormat="1" x14ac:dyDescent="0.25">
      <c r="A3" s="139"/>
      <c r="B3" s="139"/>
      <c r="C3" s="143"/>
      <c r="D3" s="139"/>
      <c r="E3" s="143"/>
      <c r="F3" s="139"/>
      <c r="G3" s="143"/>
      <c r="H3" s="139"/>
      <c r="I3" s="143"/>
      <c r="K3" s="144"/>
      <c r="M3" s="144"/>
      <c r="O3" s="144"/>
      <c r="Q3" s="144"/>
      <c r="S3" s="144"/>
      <c r="U3" s="144"/>
      <c r="W3" s="144"/>
    </row>
    <row r="5" spans="1:25" x14ac:dyDescent="0.25">
      <c r="B5" s="140" t="s">
        <v>506</v>
      </c>
      <c r="C5" s="125"/>
      <c r="E5"/>
      <c r="G5"/>
      <c r="I5"/>
      <c r="K5"/>
      <c r="M5"/>
      <c r="O5"/>
      <c r="Q5"/>
      <c r="S5"/>
      <c r="U5"/>
      <c r="W5"/>
    </row>
    <row r="6" spans="1:25" x14ac:dyDescent="0.25">
      <c r="B6" s="163" t="s">
        <v>511</v>
      </c>
      <c r="C6" s="166"/>
      <c r="D6" s="153" t="s">
        <v>72</v>
      </c>
      <c r="E6" s="153"/>
      <c r="F6" s="151" t="s">
        <v>51</v>
      </c>
      <c r="G6" s="153"/>
      <c r="H6" s="151" t="s">
        <v>87</v>
      </c>
      <c r="I6" s="153"/>
      <c r="J6" s="151" t="s">
        <v>63</v>
      </c>
      <c r="K6" s="153"/>
      <c r="L6" s="151" t="s">
        <v>56</v>
      </c>
      <c r="M6" s="153"/>
      <c r="N6" s="151" t="s">
        <v>118</v>
      </c>
      <c r="O6" s="153"/>
      <c r="P6" s="151" t="s">
        <v>325</v>
      </c>
      <c r="Q6" s="153"/>
      <c r="R6" s="151" t="s">
        <v>58</v>
      </c>
      <c r="S6" s="153"/>
      <c r="T6" s="151" t="s">
        <v>99</v>
      </c>
      <c r="U6" s="164"/>
      <c r="V6" s="165" t="s">
        <v>507</v>
      </c>
      <c r="W6" s="165" t="s">
        <v>509</v>
      </c>
    </row>
    <row r="7" spans="1:25" x14ac:dyDescent="0.25">
      <c r="A7" s="158" t="s">
        <v>502</v>
      </c>
      <c r="B7" s="151" t="s">
        <v>508</v>
      </c>
      <c r="C7" s="167" t="s">
        <v>510</v>
      </c>
      <c r="D7" s="151" t="s">
        <v>508</v>
      </c>
      <c r="E7" s="4" t="s">
        <v>510</v>
      </c>
      <c r="F7" s="151" t="s">
        <v>508</v>
      </c>
      <c r="G7" s="4" t="s">
        <v>510</v>
      </c>
      <c r="H7" s="151" t="s">
        <v>508</v>
      </c>
      <c r="I7" s="4" t="s">
        <v>510</v>
      </c>
      <c r="J7" s="151" t="s">
        <v>508</v>
      </c>
      <c r="K7" s="4" t="s">
        <v>510</v>
      </c>
      <c r="L7" s="151" t="s">
        <v>508</v>
      </c>
      <c r="M7" s="4" t="s">
        <v>510</v>
      </c>
      <c r="N7" s="151" t="s">
        <v>508</v>
      </c>
      <c r="O7" s="4" t="s">
        <v>510</v>
      </c>
      <c r="P7" s="151" t="s">
        <v>508</v>
      </c>
      <c r="Q7" s="4" t="s">
        <v>510</v>
      </c>
      <c r="R7" s="151" t="s">
        <v>508</v>
      </c>
      <c r="S7" s="4" t="s">
        <v>510</v>
      </c>
      <c r="T7" s="151" t="s">
        <v>508</v>
      </c>
      <c r="U7" s="4" t="s">
        <v>510</v>
      </c>
      <c r="V7" s="4"/>
      <c r="W7" s="4"/>
    </row>
    <row r="8" spans="1:25" x14ac:dyDescent="0.25">
      <c r="A8" s="159" t="s">
        <v>504</v>
      </c>
      <c r="B8" s="152">
        <v>2</v>
      </c>
      <c r="C8" s="168">
        <v>1618920</v>
      </c>
      <c r="D8" s="154"/>
      <c r="E8" s="168"/>
      <c r="F8" s="154">
        <v>1</v>
      </c>
      <c r="G8" s="172">
        <v>0</v>
      </c>
      <c r="H8" s="154">
        <v>6</v>
      </c>
      <c r="I8" s="172">
        <v>218165467</v>
      </c>
      <c r="J8" s="154"/>
      <c r="K8" s="172"/>
      <c r="L8" s="154"/>
      <c r="M8" s="172"/>
      <c r="N8" s="154"/>
      <c r="O8" s="172"/>
      <c r="P8" s="154">
        <v>1</v>
      </c>
      <c r="Q8" s="172">
        <v>267110803</v>
      </c>
      <c r="R8" s="154">
        <v>1</v>
      </c>
      <c r="S8" s="172">
        <v>7912624</v>
      </c>
      <c r="T8" s="154">
        <v>1</v>
      </c>
      <c r="U8" s="172">
        <v>1315890</v>
      </c>
      <c r="V8" s="154">
        <v>12</v>
      </c>
      <c r="W8" s="172">
        <v>496123704</v>
      </c>
    </row>
    <row r="9" spans="1:25" x14ac:dyDescent="0.25">
      <c r="A9" s="160" t="s">
        <v>311</v>
      </c>
      <c r="B9" s="149"/>
      <c r="C9" s="169"/>
      <c r="D9" s="147"/>
      <c r="E9" s="169"/>
      <c r="F9" s="147">
        <v>1</v>
      </c>
      <c r="G9" s="173">
        <v>31500000</v>
      </c>
      <c r="H9" s="147">
        <v>1</v>
      </c>
      <c r="I9" s="173">
        <v>70324410</v>
      </c>
      <c r="J9" s="147"/>
      <c r="K9" s="173"/>
      <c r="L9" s="147"/>
      <c r="M9" s="173"/>
      <c r="N9" s="147"/>
      <c r="O9" s="173"/>
      <c r="P9" s="147"/>
      <c r="Q9" s="173"/>
      <c r="R9" s="147"/>
      <c r="S9" s="173"/>
      <c r="T9" s="147"/>
      <c r="U9" s="173"/>
      <c r="V9" s="147">
        <v>2</v>
      </c>
      <c r="W9" s="173">
        <v>101824410</v>
      </c>
    </row>
    <row r="10" spans="1:25" x14ac:dyDescent="0.25">
      <c r="A10" s="160" t="s">
        <v>503</v>
      </c>
      <c r="B10" s="149">
        <v>4</v>
      </c>
      <c r="C10" s="169">
        <v>11476790</v>
      </c>
      <c r="D10" s="147">
        <v>1</v>
      </c>
      <c r="E10" s="169">
        <v>40574435</v>
      </c>
      <c r="F10" s="147">
        <v>22</v>
      </c>
      <c r="G10" s="173">
        <v>1266624883</v>
      </c>
      <c r="H10" s="147">
        <v>16</v>
      </c>
      <c r="I10" s="173">
        <v>460530661</v>
      </c>
      <c r="J10" s="147">
        <v>13</v>
      </c>
      <c r="K10" s="173">
        <v>547702575</v>
      </c>
      <c r="L10" s="147">
        <v>29</v>
      </c>
      <c r="M10" s="173">
        <v>1823870401</v>
      </c>
      <c r="N10" s="147">
        <v>10</v>
      </c>
      <c r="O10" s="173">
        <v>1283443681</v>
      </c>
      <c r="P10" s="147">
        <v>1</v>
      </c>
      <c r="Q10" s="173">
        <v>31668474</v>
      </c>
      <c r="R10" s="147"/>
      <c r="S10" s="173"/>
      <c r="T10" s="147"/>
      <c r="U10" s="173"/>
      <c r="V10" s="147">
        <v>96</v>
      </c>
      <c r="W10" s="173">
        <v>5465891900</v>
      </c>
    </row>
    <row r="11" spans="1:25" x14ac:dyDescent="0.25">
      <c r="A11" s="161" t="s">
        <v>505</v>
      </c>
      <c r="B11" s="149"/>
      <c r="C11" s="169"/>
      <c r="D11" s="147"/>
      <c r="E11" s="169"/>
      <c r="F11" s="147"/>
      <c r="G11" s="173"/>
      <c r="H11" s="147">
        <v>3</v>
      </c>
      <c r="I11" s="173">
        <v>59400000</v>
      </c>
      <c r="J11" s="147">
        <v>1</v>
      </c>
      <c r="K11" s="173">
        <v>0</v>
      </c>
      <c r="L11" s="147">
        <v>4</v>
      </c>
      <c r="M11" s="173">
        <v>31110000</v>
      </c>
      <c r="N11" s="147">
        <v>2</v>
      </c>
      <c r="O11" s="173">
        <v>32564886</v>
      </c>
      <c r="P11" s="147"/>
      <c r="Q11" s="173"/>
      <c r="R11" s="147"/>
      <c r="S11" s="173"/>
      <c r="T11" s="147"/>
      <c r="U11" s="173"/>
      <c r="V11" s="147">
        <v>10</v>
      </c>
      <c r="W11" s="173">
        <v>123074886</v>
      </c>
    </row>
    <row r="12" spans="1:25" x14ac:dyDescent="0.25">
      <c r="A12" s="162" t="s">
        <v>501</v>
      </c>
      <c r="B12" s="150">
        <v>6</v>
      </c>
      <c r="C12" s="170">
        <v>13095710</v>
      </c>
      <c r="D12" s="148">
        <v>1</v>
      </c>
      <c r="E12" s="171">
        <v>40574435</v>
      </c>
      <c r="F12" s="148">
        <v>24</v>
      </c>
      <c r="G12" s="174">
        <v>1298124883</v>
      </c>
      <c r="H12" s="148">
        <v>26</v>
      </c>
      <c r="I12" s="174">
        <v>808420538</v>
      </c>
      <c r="J12" s="148">
        <v>14</v>
      </c>
      <c r="K12" s="174">
        <v>547702575</v>
      </c>
      <c r="L12" s="148">
        <v>33</v>
      </c>
      <c r="M12" s="174">
        <v>1854980401</v>
      </c>
      <c r="N12" s="148">
        <v>12</v>
      </c>
      <c r="O12" s="174">
        <v>1316008567</v>
      </c>
      <c r="P12" s="148">
        <v>2</v>
      </c>
      <c r="Q12" s="174">
        <v>298779277</v>
      </c>
      <c r="R12" s="148">
        <v>1</v>
      </c>
      <c r="S12" s="174">
        <v>7912624</v>
      </c>
      <c r="T12" s="148">
        <v>1</v>
      </c>
      <c r="U12" s="174">
        <v>1315890</v>
      </c>
      <c r="V12" s="148">
        <v>120</v>
      </c>
      <c r="W12" s="174">
        <v>6186914900</v>
      </c>
    </row>
    <row r="16" spans="1:25" s="6" customFormat="1" x14ac:dyDescent="0.25">
      <c r="A16" s="1040" t="s">
        <v>514</v>
      </c>
      <c r="B16" s="1040"/>
      <c r="C16" s="1040"/>
      <c r="D16" s="1040"/>
      <c r="E16" s="1040"/>
      <c r="F16" s="1040"/>
      <c r="G16" s="1040"/>
      <c r="H16" s="1040"/>
      <c r="I16" s="1040"/>
      <c r="Y16" s="177"/>
    </row>
    <row r="18" spans="1:25" x14ac:dyDescent="0.25">
      <c r="B18" s="140" t="s">
        <v>506</v>
      </c>
      <c r="C18" s="125"/>
      <c r="E18"/>
      <c r="G18"/>
      <c r="I18"/>
      <c r="K18"/>
      <c r="M18"/>
      <c r="O18"/>
      <c r="Q18"/>
      <c r="S18"/>
      <c r="U18"/>
      <c r="W18"/>
    </row>
    <row r="19" spans="1:25" x14ac:dyDescent="0.25">
      <c r="B19" s="145" t="s">
        <v>72</v>
      </c>
      <c r="C19" s="175"/>
      <c r="D19" s="146" t="s">
        <v>51</v>
      </c>
      <c r="E19" s="175"/>
      <c r="F19" s="146" t="s">
        <v>87</v>
      </c>
      <c r="G19" s="175"/>
      <c r="H19" s="146" t="s">
        <v>63</v>
      </c>
      <c r="I19" s="175"/>
      <c r="J19" s="146" t="s">
        <v>56</v>
      </c>
      <c r="K19" s="175"/>
      <c r="L19" s="175" t="s">
        <v>507</v>
      </c>
      <c r="M19" s="175" t="s">
        <v>509</v>
      </c>
      <c r="O19"/>
      <c r="Q19"/>
      <c r="S19"/>
      <c r="U19"/>
      <c r="W19"/>
    </row>
    <row r="20" spans="1:25" x14ac:dyDescent="0.25">
      <c r="A20" s="158" t="s">
        <v>502</v>
      </c>
      <c r="B20" s="165" t="s">
        <v>508</v>
      </c>
      <c r="C20" s="175" t="s">
        <v>510</v>
      </c>
      <c r="D20" s="165" t="s">
        <v>508</v>
      </c>
      <c r="E20" s="175" t="s">
        <v>510</v>
      </c>
      <c r="F20" s="165" t="s">
        <v>508</v>
      </c>
      <c r="G20" s="175" t="s">
        <v>510</v>
      </c>
      <c r="H20" s="165" t="s">
        <v>508</v>
      </c>
      <c r="I20" s="175" t="s">
        <v>510</v>
      </c>
      <c r="J20" s="165" t="s">
        <v>508</v>
      </c>
      <c r="K20" s="175" t="s">
        <v>510</v>
      </c>
      <c r="L20" s="176"/>
      <c r="M20" s="176"/>
      <c r="O20"/>
      <c r="Q20"/>
      <c r="S20"/>
      <c r="U20"/>
      <c r="W20"/>
    </row>
    <row r="21" spans="1:25" x14ac:dyDescent="0.25">
      <c r="A21" s="159" t="s">
        <v>504</v>
      </c>
      <c r="B21" s="172"/>
      <c r="C21" s="155"/>
      <c r="D21" s="172"/>
      <c r="E21" s="155"/>
      <c r="F21" s="172">
        <v>6</v>
      </c>
      <c r="G21" s="155">
        <v>218165467</v>
      </c>
      <c r="H21" s="172"/>
      <c r="I21" s="155"/>
      <c r="J21" s="172"/>
      <c r="K21" s="155"/>
      <c r="L21" s="172">
        <v>6</v>
      </c>
      <c r="M21" s="155">
        <v>218165467</v>
      </c>
      <c r="O21"/>
      <c r="Q21"/>
      <c r="S21"/>
      <c r="U21"/>
      <c r="W21"/>
    </row>
    <row r="22" spans="1:25" x14ac:dyDescent="0.25">
      <c r="A22" s="160" t="s">
        <v>311</v>
      </c>
      <c r="B22" s="173"/>
      <c r="C22" s="156"/>
      <c r="D22" s="173">
        <v>2</v>
      </c>
      <c r="E22" s="156">
        <v>101824410</v>
      </c>
      <c r="F22" s="173"/>
      <c r="G22" s="156"/>
      <c r="H22" s="173"/>
      <c r="I22" s="156"/>
      <c r="J22" s="173"/>
      <c r="K22" s="156"/>
      <c r="L22" s="173">
        <v>2</v>
      </c>
      <c r="M22" s="156">
        <v>101824410</v>
      </c>
      <c r="O22"/>
      <c r="Q22"/>
      <c r="S22"/>
      <c r="U22"/>
      <c r="W22"/>
    </row>
    <row r="23" spans="1:25" x14ac:dyDescent="0.25">
      <c r="A23" s="160" t="s">
        <v>503</v>
      </c>
      <c r="B23" s="173">
        <v>2</v>
      </c>
      <c r="C23" s="156">
        <v>81148870</v>
      </c>
      <c r="D23" s="173">
        <v>14</v>
      </c>
      <c r="E23" s="156">
        <v>596092254</v>
      </c>
      <c r="F23" s="173">
        <v>16</v>
      </c>
      <c r="G23" s="156">
        <v>683811526</v>
      </c>
      <c r="H23" s="173">
        <v>29</v>
      </c>
      <c r="I23" s="156">
        <v>1306067918</v>
      </c>
      <c r="J23" s="173">
        <v>18</v>
      </c>
      <c r="K23" s="156">
        <v>1472182387</v>
      </c>
      <c r="L23" s="173">
        <v>79</v>
      </c>
      <c r="M23" s="156">
        <v>4139302955</v>
      </c>
      <c r="O23"/>
      <c r="Q23"/>
      <c r="S23"/>
      <c r="U23"/>
      <c r="W23"/>
    </row>
    <row r="24" spans="1:25" x14ac:dyDescent="0.25">
      <c r="A24" s="161" t="s">
        <v>505</v>
      </c>
      <c r="B24" s="173"/>
      <c r="C24" s="156"/>
      <c r="D24" s="173"/>
      <c r="E24" s="156"/>
      <c r="F24" s="173">
        <v>2</v>
      </c>
      <c r="G24" s="156">
        <v>59400000</v>
      </c>
      <c r="H24" s="173">
        <v>1</v>
      </c>
      <c r="I24" s="156">
        <v>30033333</v>
      </c>
      <c r="J24" s="173">
        <v>2</v>
      </c>
      <c r="K24" s="156">
        <v>31110000</v>
      </c>
      <c r="L24" s="173">
        <v>5</v>
      </c>
      <c r="M24" s="156">
        <v>120543333</v>
      </c>
      <c r="O24"/>
      <c r="Q24"/>
      <c r="S24"/>
      <c r="U24"/>
      <c r="W24"/>
    </row>
    <row r="25" spans="1:25" x14ac:dyDescent="0.25">
      <c r="A25" s="162" t="s">
        <v>501</v>
      </c>
      <c r="B25" s="174">
        <v>2</v>
      </c>
      <c r="C25" s="157">
        <v>81148870</v>
      </c>
      <c r="D25" s="174">
        <v>16</v>
      </c>
      <c r="E25" s="157">
        <v>697916664</v>
      </c>
      <c r="F25" s="174">
        <v>24</v>
      </c>
      <c r="G25" s="157">
        <v>961376993</v>
      </c>
      <c r="H25" s="174">
        <v>30</v>
      </c>
      <c r="I25" s="157">
        <v>1336101251</v>
      </c>
      <c r="J25" s="174">
        <v>20</v>
      </c>
      <c r="K25" s="157">
        <v>1503292387</v>
      </c>
      <c r="L25" s="174">
        <v>92</v>
      </c>
      <c r="M25" s="142">
        <v>4579836165</v>
      </c>
      <c r="O25"/>
      <c r="Q25"/>
      <c r="S25"/>
      <c r="U25"/>
      <c r="W25"/>
    </row>
    <row r="26" spans="1:25" x14ac:dyDescent="0.25">
      <c r="C26"/>
      <c r="E26"/>
      <c r="G26"/>
      <c r="I26"/>
      <c r="K26"/>
      <c r="M26"/>
      <c r="O26"/>
      <c r="Q26"/>
      <c r="S26"/>
      <c r="U26"/>
      <c r="W26"/>
    </row>
    <row r="27" spans="1:25" s="6" customFormat="1" x14ac:dyDescent="0.25"/>
    <row r="28" spans="1:25" s="6" customFormat="1" x14ac:dyDescent="0.25">
      <c r="A28" s="1040" t="s">
        <v>519</v>
      </c>
      <c r="B28" s="1040"/>
      <c r="C28" s="1040"/>
      <c r="D28" s="1040"/>
      <c r="E28" s="1040"/>
      <c r="F28" s="1040"/>
      <c r="G28" s="1040"/>
      <c r="H28" s="1040"/>
      <c r="I28" s="1040"/>
      <c r="Y28" s="177"/>
    </row>
    <row r="29" spans="1:25" x14ac:dyDescent="0.25">
      <c r="A29" s="140" t="s">
        <v>516</v>
      </c>
      <c r="B29" s="6" t="s">
        <v>513</v>
      </c>
      <c r="C29"/>
      <c r="E29"/>
      <c r="G29"/>
      <c r="I29"/>
      <c r="K29"/>
      <c r="M29"/>
      <c r="O29"/>
      <c r="Q29"/>
      <c r="S29"/>
      <c r="U29"/>
      <c r="W29"/>
    </row>
    <row r="30" spans="1:25" x14ac:dyDescent="0.25">
      <c r="A30" s="140" t="s">
        <v>515</v>
      </c>
      <c r="B30" s="6" t="s">
        <v>517</v>
      </c>
      <c r="C30"/>
      <c r="E30"/>
      <c r="G30"/>
      <c r="I30"/>
      <c r="K30"/>
      <c r="M30"/>
      <c r="O30"/>
      <c r="Q30"/>
      <c r="S30"/>
      <c r="U30"/>
      <c r="W30"/>
    </row>
    <row r="31" spans="1:25" x14ac:dyDescent="0.25">
      <c r="C31"/>
      <c r="E31"/>
      <c r="G31"/>
      <c r="I31"/>
      <c r="K31"/>
      <c r="M31"/>
      <c r="O31"/>
      <c r="Q31"/>
      <c r="S31"/>
      <c r="U31"/>
      <c r="W31"/>
    </row>
    <row r="32" spans="1:25" x14ac:dyDescent="0.25">
      <c r="A32" s="140" t="s">
        <v>518</v>
      </c>
      <c r="B32" s="140" t="s">
        <v>506</v>
      </c>
      <c r="C32"/>
      <c r="E32"/>
      <c r="G32"/>
      <c r="I32"/>
      <c r="K32"/>
      <c r="M32"/>
      <c r="O32"/>
      <c r="Q32"/>
      <c r="S32"/>
      <c r="U32"/>
      <c r="W32"/>
    </row>
    <row r="33" spans="1:23" x14ac:dyDescent="0.25">
      <c r="A33" s="158" t="s">
        <v>502</v>
      </c>
      <c r="B33" s="6" t="s">
        <v>501</v>
      </c>
      <c r="C33"/>
      <c r="E33"/>
      <c r="G33"/>
      <c r="I33"/>
      <c r="K33"/>
      <c r="M33"/>
      <c r="O33"/>
      <c r="Q33"/>
      <c r="S33"/>
      <c r="U33"/>
      <c r="W33"/>
    </row>
    <row r="34" spans="1:23" x14ac:dyDescent="0.25">
      <c r="A34" s="162" t="s">
        <v>501</v>
      </c>
      <c r="B34" s="186"/>
      <c r="C34"/>
      <c r="E34"/>
      <c r="G34"/>
      <c r="I34"/>
      <c r="K34"/>
      <c r="M34"/>
      <c r="O34"/>
      <c r="Q34"/>
      <c r="S34"/>
      <c r="U34"/>
      <c r="W34"/>
    </row>
    <row r="35" spans="1:23" x14ac:dyDescent="0.25">
      <c r="C35"/>
      <c r="E35"/>
      <c r="G35"/>
      <c r="I35"/>
      <c r="K35"/>
      <c r="M35"/>
      <c r="O35"/>
      <c r="Q35"/>
      <c r="S35"/>
      <c r="U35"/>
      <c r="W35"/>
    </row>
    <row r="36" spans="1:23" x14ac:dyDescent="0.25">
      <c r="C36"/>
      <c r="E36"/>
      <c r="G36"/>
      <c r="I36"/>
      <c r="K36"/>
      <c r="M36"/>
      <c r="O36"/>
      <c r="Q36"/>
      <c r="S36"/>
      <c r="U36"/>
      <c r="W36"/>
    </row>
    <row r="37" spans="1:23" x14ac:dyDescent="0.25">
      <c r="C37"/>
      <c r="E37"/>
      <c r="G37"/>
      <c r="I37"/>
      <c r="K37"/>
      <c r="M37"/>
      <c r="O37"/>
      <c r="Q37"/>
      <c r="S37"/>
      <c r="U37"/>
      <c r="W37"/>
    </row>
    <row r="38" spans="1:23" x14ac:dyDescent="0.25">
      <c r="C38"/>
      <c r="E38"/>
      <c r="G38"/>
      <c r="I38"/>
      <c r="K38"/>
      <c r="M38"/>
      <c r="O38"/>
      <c r="Q38"/>
      <c r="S38"/>
      <c r="U38"/>
      <c r="W38"/>
    </row>
    <row r="39" spans="1:23" x14ac:dyDescent="0.25">
      <c r="C39"/>
      <c r="E39"/>
      <c r="G39"/>
      <c r="I39"/>
      <c r="K39"/>
      <c r="M39"/>
    </row>
  </sheetData>
  <mergeCells count="3">
    <mergeCell ref="A1:I1"/>
    <mergeCell ref="A16:I16"/>
    <mergeCell ref="A28:I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topLeftCell="A2" zoomScale="85" zoomScaleNormal="85" workbookViewId="0">
      <selection activeCell="A31" sqref="A31"/>
    </sheetView>
  </sheetViews>
  <sheetFormatPr baseColWidth="10" defaultRowHeight="15" x14ac:dyDescent="0.25"/>
  <cols>
    <col min="1" max="1" width="29.7109375" customWidth="1"/>
    <col min="2" max="2" width="22.42578125" customWidth="1"/>
    <col min="3" max="3" width="9.28515625" customWidth="1"/>
    <col min="4" max="4" width="8.85546875" customWidth="1"/>
    <col min="5" max="5" width="10.28515625" customWidth="1"/>
    <col min="6" max="6" width="8.85546875" customWidth="1"/>
    <col min="7" max="7" width="10.28515625" customWidth="1"/>
    <col min="8" max="8" width="8.85546875" customWidth="1"/>
    <col min="9" max="9" width="9.28515625" customWidth="1"/>
    <col min="10" max="10" width="8.85546875" customWidth="1"/>
    <col min="11" max="11" width="9.28515625" customWidth="1"/>
    <col min="12" max="12" width="8.85546875" customWidth="1"/>
    <col min="13" max="13" width="15.140625" customWidth="1"/>
    <col min="14" max="14" width="8.85546875" customWidth="1"/>
    <col min="15" max="15" width="9.28515625" customWidth="1"/>
    <col min="16" max="16" width="8.85546875" customWidth="1"/>
    <col min="17" max="17" width="9.28515625" customWidth="1"/>
    <col min="18" max="18" width="8.85546875" customWidth="1"/>
    <col min="19" max="19" width="9.28515625" customWidth="1"/>
    <col min="20" max="20" width="11.42578125" customWidth="1"/>
    <col min="21" max="21" width="8.140625" customWidth="1"/>
    <col min="22" max="22" width="8.85546875" customWidth="1"/>
    <col min="23" max="23" width="9.28515625" customWidth="1"/>
    <col min="24" max="24" width="11" customWidth="1"/>
    <col min="25" max="25" width="5.7109375" customWidth="1"/>
    <col min="26" max="26" width="10.140625" customWidth="1"/>
    <col min="27" max="27" width="8.140625" customWidth="1"/>
    <col min="28" max="28" width="13.7109375" customWidth="1"/>
    <col min="29" max="29" width="10.5703125" customWidth="1"/>
    <col min="30" max="30" width="13" customWidth="1"/>
    <col min="31" max="31" width="12.85546875" bestFit="1" customWidth="1"/>
    <col min="32" max="32" width="15.85546875" bestFit="1" customWidth="1"/>
    <col min="33" max="33" width="12" bestFit="1" customWidth="1"/>
    <col min="34" max="34" width="15" bestFit="1" customWidth="1"/>
    <col min="35" max="35" width="12.5703125" bestFit="1" customWidth="1"/>
  </cols>
  <sheetData>
    <row r="1" spans="1:29" s="6" customFormat="1" x14ac:dyDescent="0.25">
      <c r="A1" s="1040" t="s">
        <v>499</v>
      </c>
      <c r="B1" s="1040"/>
      <c r="C1" s="1040"/>
      <c r="D1" s="1040"/>
      <c r="E1" s="1040"/>
      <c r="F1" s="1040"/>
      <c r="G1" s="1040"/>
      <c r="H1" s="1040"/>
      <c r="I1" s="1040"/>
      <c r="K1" s="144"/>
      <c r="M1" s="144"/>
      <c r="O1" s="144"/>
      <c r="Q1" s="144"/>
      <c r="S1" s="144"/>
      <c r="U1" s="144"/>
      <c r="W1" s="144"/>
    </row>
    <row r="2" spans="1:29" s="6" customFormat="1" x14ac:dyDescent="0.25">
      <c r="A2" s="139"/>
      <c r="B2" s="139"/>
      <c r="C2" s="143"/>
      <c r="D2" s="139"/>
      <c r="E2" s="143"/>
      <c r="F2" s="139"/>
      <c r="G2" s="143"/>
      <c r="H2" s="139"/>
      <c r="I2" s="143"/>
      <c r="K2" s="144"/>
      <c r="M2" s="144"/>
      <c r="O2" s="144"/>
      <c r="Q2" s="144"/>
      <c r="S2" s="144"/>
      <c r="U2" s="144"/>
      <c r="W2" s="144"/>
    </row>
    <row r="3" spans="1:29" s="6" customFormat="1" x14ac:dyDescent="0.25">
      <c r="A3" s="139"/>
      <c r="B3" s="139"/>
      <c r="C3" s="143"/>
      <c r="D3" s="139"/>
      <c r="E3" s="143"/>
      <c r="F3" s="139"/>
      <c r="G3" s="143"/>
      <c r="H3" s="139"/>
      <c r="I3" s="143"/>
      <c r="K3" s="144"/>
      <c r="M3" s="144"/>
      <c r="O3" s="144"/>
      <c r="Q3" s="144"/>
      <c r="S3" s="144"/>
      <c r="U3" s="144"/>
      <c r="W3" s="144"/>
    </row>
    <row r="4" spans="1:29" s="6" customFormat="1" x14ac:dyDescent="0.25">
      <c r="A4" s="139"/>
      <c r="B4" s="139"/>
      <c r="C4" s="143"/>
      <c r="D4" s="139"/>
      <c r="E4" s="143"/>
      <c r="F4" s="139"/>
      <c r="G4" s="143"/>
      <c r="H4" s="139"/>
      <c r="I4" s="143"/>
      <c r="K4" s="144"/>
      <c r="M4" s="144"/>
      <c r="O4" s="144"/>
      <c r="Q4" s="144"/>
      <c r="S4" s="144"/>
      <c r="U4" s="144"/>
      <c r="W4" s="144"/>
    </row>
    <row r="5" spans="1:29" s="90" customFormat="1" x14ac:dyDescent="0.25">
      <c r="A5" s="183"/>
      <c r="B5" s="183"/>
      <c r="C5" s="184"/>
      <c r="D5" s="183"/>
      <c r="E5" s="184"/>
      <c r="F5" s="183"/>
      <c r="G5" s="184"/>
      <c r="H5" s="183"/>
      <c r="I5" s="184"/>
      <c r="K5" s="185"/>
      <c r="M5" s="185"/>
      <c r="O5" s="185"/>
      <c r="Q5" s="185"/>
      <c r="S5" s="185"/>
      <c r="U5" s="185"/>
      <c r="W5" s="185"/>
    </row>
    <row r="6" spans="1:29" s="90" customFormat="1" x14ac:dyDescent="0.25">
      <c r="A6"/>
      <c r="B6"/>
      <c r="C6" s="184"/>
      <c r="D6" s="183"/>
      <c r="E6" s="184"/>
      <c r="F6" s="183"/>
      <c r="G6" s="184"/>
      <c r="H6" s="183"/>
      <c r="I6" s="184"/>
      <c r="K6" s="185"/>
      <c r="M6" s="185"/>
      <c r="O6" s="185"/>
      <c r="Q6" s="185"/>
      <c r="S6" s="185"/>
      <c r="U6" s="185"/>
      <c r="W6" s="185"/>
    </row>
    <row r="7" spans="1:29" s="90" customFormat="1" x14ac:dyDescent="0.25">
      <c r="A7" s="183"/>
      <c r="B7" s="183"/>
      <c r="C7" s="184"/>
      <c r="D7" s="183"/>
      <c r="E7" s="184"/>
      <c r="F7" s="183"/>
      <c r="G7" s="184"/>
      <c r="H7" s="183"/>
      <c r="I7" s="184"/>
      <c r="K7" s="185"/>
      <c r="M7" s="185"/>
      <c r="O7" s="185"/>
      <c r="Q7" s="185"/>
      <c r="S7" s="185"/>
      <c r="U7" s="185"/>
      <c r="W7" s="185"/>
    </row>
    <row r="8" spans="1:29" x14ac:dyDescent="0.25">
      <c r="B8" s="140" t="s">
        <v>506</v>
      </c>
    </row>
    <row r="9" spans="1:29" x14ac:dyDescent="0.25">
      <c r="B9" s="151" t="s">
        <v>516</v>
      </c>
      <c r="C9" s="153"/>
      <c r="D9" s="151" t="s">
        <v>72</v>
      </c>
      <c r="E9" s="153"/>
      <c r="F9" s="151" t="s">
        <v>51</v>
      </c>
      <c r="G9" s="153"/>
      <c r="H9" s="151" t="s">
        <v>87</v>
      </c>
      <c r="I9" s="153"/>
      <c r="J9" s="153" t="s">
        <v>63</v>
      </c>
      <c r="K9" s="153"/>
      <c r="L9" s="151" t="s">
        <v>56</v>
      </c>
      <c r="M9" s="153"/>
      <c r="N9" s="151" t="s">
        <v>118</v>
      </c>
      <c r="O9" s="153"/>
      <c r="P9" s="151" t="s">
        <v>325</v>
      </c>
      <c r="Q9" s="153"/>
      <c r="R9" s="151" t="s">
        <v>58</v>
      </c>
      <c r="S9" s="153"/>
      <c r="T9" s="151" t="s">
        <v>494</v>
      </c>
      <c r="U9" s="153"/>
      <c r="V9" s="151" t="s">
        <v>77</v>
      </c>
      <c r="W9" s="153"/>
      <c r="X9" s="151" t="s">
        <v>99</v>
      </c>
      <c r="Y9" s="153"/>
      <c r="Z9" s="151" t="s">
        <v>488</v>
      </c>
      <c r="AA9" s="164"/>
      <c r="AB9" s="165" t="s">
        <v>507</v>
      </c>
      <c r="AC9" s="165" t="s">
        <v>509</v>
      </c>
    </row>
    <row r="10" spans="1:29" x14ac:dyDescent="0.25">
      <c r="A10" s="158" t="s">
        <v>500</v>
      </c>
      <c r="B10" s="4" t="s">
        <v>508</v>
      </c>
      <c r="C10" s="164" t="s">
        <v>510</v>
      </c>
      <c r="D10" s="4" t="s">
        <v>508</v>
      </c>
      <c r="E10" s="164" t="s">
        <v>510</v>
      </c>
      <c r="F10" s="4" t="s">
        <v>508</v>
      </c>
      <c r="G10" s="164" t="s">
        <v>510</v>
      </c>
      <c r="H10" s="4" t="s">
        <v>508</v>
      </c>
      <c r="I10" s="164" t="s">
        <v>510</v>
      </c>
      <c r="J10" s="4" t="s">
        <v>508</v>
      </c>
      <c r="K10" s="164" t="s">
        <v>510</v>
      </c>
      <c r="L10" s="4" t="s">
        <v>508</v>
      </c>
      <c r="M10" s="164" t="s">
        <v>510</v>
      </c>
      <c r="N10" s="4" t="s">
        <v>508</v>
      </c>
      <c r="O10" s="164" t="s">
        <v>510</v>
      </c>
      <c r="P10" s="4" t="s">
        <v>508</v>
      </c>
      <c r="Q10" s="164" t="s">
        <v>510</v>
      </c>
      <c r="R10" s="4" t="s">
        <v>508</v>
      </c>
      <c r="S10" s="164" t="s">
        <v>510</v>
      </c>
      <c r="T10" s="4" t="s">
        <v>508</v>
      </c>
      <c r="U10" s="164" t="s">
        <v>510</v>
      </c>
      <c r="V10" s="4" t="s">
        <v>508</v>
      </c>
      <c r="W10" s="164" t="s">
        <v>510</v>
      </c>
      <c r="X10" s="4" t="s">
        <v>508</v>
      </c>
      <c r="Y10" s="164" t="s">
        <v>510</v>
      </c>
      <c r="Z10" s="4" t="s">
        <v>508</v>
      </c>
      <c r="AA10" s="164" t="s">
        <v>510</v>
      </c>
      <c r="AB10" s="4"/>
      <c r="AC10" s="4"/>
    </row>
    <row r="11" spans="1:29" x14ac:dyDescent="0.25">
      <c r="A11" s="159" t="s">
        <v>310</v>
      </c>
      <c r="B11" s="172"/>
      <c r="C11" s="154"/>
      <c r="D11" s="172">
        <v>1</v>
      </c>
      <c r="E11" s="154">
        <v>7647414</v>
      </c>
      <c r="F11" s="172">
        <v>1</v>
      </c>
      <c r="G11" s="154">
        <v>23192040</v>
      </c>
      <c r="H11" s="172">
        <v>1</v>
      </c>
      <c r="I11" s="155">
        <v>16660000</v>
      </c>
      <c r="J11" s="172">
        <v>3</v>
      </c>
      <c r="K11" s="154">
        <v>33126447</v>
      </c>
      <c r="L11" s="172">
        <v>4</v>
      </c>
      <c r="M11" s="154">
        <v>6609360</v>
      </c>
      <c r="N11" s="172"/>
      <c r="O11" s="154"/>
      <c r="P11" s="172">
        <v>1</v>
      </c>
      <c r="Q11" s="154">
        <v>30410756</v>
      </c>
      <c r="R11" s="172"/>
      <c r="S11" s="154"/>
      <c r="T11" s="172"/>
      <c r="U11" s="154"/>
      <c r="V11" s="172">
        <v>2</v>
      </c>
      <c r="W11" s="154">
        <v>42646023</v>
      </c>
      <c r="X11" s="172">
        <v>2</v>
      </c>
      <c r="Y11" s="154">
        <v>0</v>
      </c>
      <c r="Z11" s="172">
        <v>1</v>
      </c>
      <c r="AA11" s="154">
        <v>2319204</v>
      </c>
      <c r="AB11" s="172">
        <v>16</v>
      </c>
      <c r="AC11" s="155">
        <v>162611244</v>
      </c>
    </row>
    <row r="12" spans="1:29" x14ac:dyDescent="0.25">
      <c r="A12" s="160" t="s">
        <v>503</v>
      </c>
      <c r="B12" s="173"/>
      <c r="C12" s="147"/>
      <c r="D12" s="173"/>
      <c r="E12" s="147"/>
      <c r="F12" s="173"/>
      <c r="G12" s="147"/>
      <c r="H12" s="173"/>
      <c r="I12" s="156"/>
      <c r="J12" s="173">
        <v>1</v>
      </c>
      <c r="K12" s="147">
        <v>1050000</v>
      </c>
      <c r="L12" s="173"/>
      <c r="M12" s="147"/>
      <c r="N12" s="173"/>
      <c r="O12" s="147"/>
      <c r="P12" s="173"/>
      <c r="Q12" s="147"/>
      <c r="R12" s="173"/>
      <c r="S12" s="147"/>
      <c r="T12" s="173"/>
      <c r="U12" s="147"/>
      <c r="V12" s="173"/>
      <c r="W12" s="147"/>
      <c r="X12" s="173"/>
      <c r="Y12" s="147"/>
      <c r="Z12" s="173"/>
      <c r="AA12" s="147"/>
      <c r="AB12" s="173">
        <v>1</v>
      </c>
      <c r="AC12" s="156">
        <v>1050000</v>
      </c>
    </row>
    <row r="13" spans="1:29" x14ac:dyDescent="0.25">
      <c r="A13" s="160" t="s">
        <v>505</v>
      </c>
      <c r="B13" s="173">
        <v>1</v>
      </c>
      <c r="C13" s="147">
        <v>3230000</v>
      </c>
      <c r="D13" s="173">
        <v>6</v>
      </c>
      <c r="E13" s="147">
        <v>104525710</v>
      </c>
      <c r="F13" s="173">
        <v>8</v>
      </c>
      <c r="G13" s="147">
        <v>361321290</v>
      </c>
      <c r="H13" s="173"/>
      <c r="I13" s="156"/>
      <c r="J13" s="173">
        <v>4</v>
      </c>
      <c r="K13" s="147">
        <v>6653075</v>
      </c>
      <c r="L13" s="173">
        <v>2</v>
      </c>
      <c r="M13" s="147">
        <v>39507833</v>
      </c>
      <c r="N13" s="173">
        <v>5</v>
      </c>
      <c r="O13" s="147">
        <v>29483000</v>
      </c>
      <c r="P13" s="173">
        <v>3</v>
      </c>
      <c r="Q13" s="147">
        <v>25709425</v>
      </c>
      <c r="R13" s="173">
        <v>3</v>
      </c>
      <c r="S13" s="147">
        <v>70000000</v>
      </c>
      <c r="T13" s="173">
        <v>1</v>
      </c>
      <c r="U13" s="147">
        <v>9600000</v>
      </c>
      <c r="V13" s="173">
        <v>2</v>
      </c>
      <c r="W13" s="147">
        <v>19800000</v>
      </c>
      <c r="X13" s="173"/>
      <c r="Y13" s="147"/>
      <c r="Z13" s="173"/>
      <c r="AA13" s="147"/>
      <c r="AB13" s="173">
        <v>35</v>
      </c>
      <c r="AC13" s="156">
        <v>669830333</v>
      </c>
    </row>
    <row r="14" spans="1:29" x14ac:dyDescent="0.25">
      <c r="A14" s="161" t="s">
        <v>513</v>
      </c>
      <c r="B14" s="173">
        <v>7</v>
      </c>
      <c r="C14" s="147">
        <v>16008423</v>
      </c>
      <c r="D14" s="173"/>
      <c r="E14" s="147"/>
      <c r="F14" s="173"/>
      <c r="G14" s="147"/>
      <c r="H14" s="173"/>
      <c r="I14" s="156"/>
      <c r="J14" s="173"/>
      <c r="K14" s="147"/>
      <c r="L14" s="173"/>
      <c r="M14" s="147"/>
      <c r="N14" s="173"/>
      <c r="O14" s="147"/>
      <c r="P14" s="173"/>
      <c r="Q14" s="147"/>
      <c r="R14" s="173"/>
      <c r="S14" s="147"/>
      <c r="T14" s="173"/>
      <c r="U14" s="147"/>
      <c r="V14" s="173"/>
      <c r="W14" s="147"/>
      <c r="X14" s="173"/>
      <c r="Y14" s="147"/>
      <c r="Z14" s="173"/>
      <c r="AA14" s="147"/>
      <c r="AB14" s="173">
        <v>7</v>
      </c>
      <c r="AC14" s="156">
        <v>16008423</v>
      </c>
    </row>
    <row r="15" spans="1:29" x14ac:dyDescent="0.25">
      <c r="A15" s="162" t="s">
        <v>501</v>
      </c>
      <c r="B15" s="174">
        <v>8</v>
      </c>
      <c r="C15" s="148">
        <v>19238423</v>
      </c>
      <c r="D15" s="174">
        <v>7</v>
      </c>
      <c r="E15" s="148">
        <v>112173124</v>
      </c>
      <c r="F15" s="174">
        <v>9</v>
      </c>
      <c r="G15" s="148">
        <v>384513330</v>
      </c>
      <c r="H15" s="174">
        <v>1</v>
      </c>
      <c r="I15" s="157">
        <v>16660000</v>
      </c>
      <c r="J15" s="174">
        <v>8</v>
      </c>
      <c r="K15" s="148">
        <v>40829522</v>
      </c>
      <c r="L15" s="174">
        <v>6</v>
      </c>
      <c r="M15" s="148">
        <v>46117193</v>
      </c>
      <c r="N15" s="174">
        <v>5</v>
      </c>
      <c r="O15" s="148">
        <v>29483000</v>
      </c>
      <c r="P15" s="174">
        <v>4</v>
      </c>
      <c r="Q15" s="148">
        <v>56120181</v>
      </c>
      <c r="R15" s="174">
        <v>3</v>
      </c>
      <c r="S15" s="148">
        <v>70000000</v>
      </c>
      <c r="T15" s="174">
        <v>1</v>
      </c>
      <c r="U15" s="148">
        <v>9600000</v>
      </c>
      <c r="V15" s="174">
        <v>4</v>
      </c>
      <c r="W15" s="148">
        <v>62446023</v>
      </c>
      <c r="X15" s="174">
        <v>2</v>
      </c>
      <c r="Y15" s="148">
        <v>0</v>
      </c>
      <c r="Z15" s="174">
        <v>1</v>
      </c>
      <c r="AA15" s="148">
        <v>2319204</v>
      </c>
      <c r="AB15" s="174">
        <v>59</v>
      </c>
      <c r="AC15" s="157">
        <v>849500000</v>
      </c>
    </row>
    <row r="18" spans="1:25" s="6" customFormat="1" x14ac:dyDescent="0.25">
      <c r="A18" s="1040" t="s">
        <v>514</v>
      </c>
      <c r="B18" s="1040"/>
      <c r="C18" s="1040"/>
      <c r="D18" s="1040"/>
      <c r="E18" s="1040"/>
      <c r="F18" s="1040"/>
      <c r="G18" s="1040"/>
      <c r="H18" s="1040"/>
      <c r="I18" s="1040"/>
      <c r="Y18" s="177"/>
    </row>
    <row r="21" spans="1:25" x14ac:dyDescent="0.25">
      <c r="B21" s="140" t="s">
        <v>506</v>
      </c>
    </row>
    <row r="22" spans="1:25" x14ac:dyDescent="0.25">
      <c r="B22" s="151" t="s">
        <v>72</v>
      </c>
      <c r="C22" s="153"/>
      <c r="D22" s="153" t="s">
        <v>51</v>
      </c>
      <c r="E22" s="153"/>
      <c r="F22" s="153" t="s">
        <v>87</v>
      </c>
      <c r="G22" s="153"/>
      <c r="H22" s="153" t="s">
        <v>63</v>
      </c>
      <c r="I22" s="153"/>
      <c r="J22" s="153" t="s">
        <v>56</v>
      </c>
      <c r="K22" s="164"/>
      <c r="L22" s="4" t="s">
        <v>507</v>
      </c>
      <c r="M22" s="4" t="s">
        <v>509</v>
      </c>
    </row>
    <row r="23" spans="1:25" x14ac:dyDescent="0.25">
      <c r="A23" s="158" t="s">
        <v>500</v>
      </c>
      <c r="B23" s="165" t="s">
        <v>508</v>
      </c>
      <c r="C23" s="6" t="s">
        <v>510</v>
      </c>
      <c r="D23" s="165" t="s">
        <v>508</v>
      </c>
      <c r="E23" s="6" t="s">
        <v>510</v>
      </c>
      <c r="F23" s="165" t="s">
        <v>508</v>
      </c>
      <c r="G23" s="6" t="s">
        <v>510</v>
      </c>
      <c r="H23" s="165" t="s">
        <v>508</v>
      </c>
      <c r="I23" s="6" t="s">
        <v>510</v>
      </c>
      <c r="J23" s="165" t="s">
        <v>508</v>
      </c>
      <c r="K23" s="6" t="s">
        <v>510</v>
      </c>
    </row>
    <row r="24" spans="1:25" x14ac:dyDescent="0.25">
      <c r="A24" s="159" t="s">
        <v>310</v>
      </c>
      <c r="B24" s="172">
        <v>1</v>
      </c>
      <c r="C24" s="154">
        <v>7647414</v>
      </c>
      <c r="D24" s="172">
        <v>1</v>
      </c>
      <c r="E24" s="154">
        <v>23192040</v>
      </c>
      <c r="F24" s="172">
        <v>2</v>
      </c>
      <c r="G24" s="154">
        <v>34835685</v>
      </c>
      <c r="H24" s="172">
        <v>1</v>
      </c>
      <c r="I24" s="154">
        <v>14950762</v>
      </c>
      <c r="J24" s="172">
        <v>2</v>
      </c>
      <c r="K24" s="154">
        <v>6609360</v>
      </c>
      <c r="L24" s="172">
        <v>7</v>
      </c>
      <c r="M24" s="155">
        <v>87235261</v>
      </c>
    </row>
    <row r="25" spans="1:25" x14ac:dyDescent="0.25">
      <c r="A25" s="161" t="s">
        <v>505</v>
      </c>
      <c r="B25" s="173">
        <v>6</v>
      </c>
      <c r="C25" s="147">
        <v>31434541</v>
      </c>
      <c r="D25" s="173">
        <v>4</v>
      </c>
      <c r="E25" s="147">
        <v>2801770</v>
      </c>
      <c r="F25" s="173">
        <v>4</v>
      </c>
      <c r="G25" s="147">
        <v>348671290</v>
      </c>
      <c r="H25" s="173">
        <v>2</v>
      </c>
      <c r="I25" s="147">
        <v>4408420</v>
      </c>
      <c r="J25" s="173">
        <v>6</v>
      </c>
      <c r="K25" s="147">
        <v>48870488</v>
      </c>
      <c r="L25" s="173">
        <v>22</v>
      </c>
      <c r="M25" s="156">
        <v>436186509</v>
      </c>
    </row>
    <row r="26" spans="1:25" x14ac:dyDescent="0.25">
      <c r="A26" s="162" t="s">
        <v>501</v>
      </c>
      <c r="B26" s="174">
        <v>7</v>
      </c>
      <c r="C26" s="148">
        <v>39081955</v>
      </c>
      <c r="D26" s="174">
        <v>5</v>
      </c>
      <c r="E26" s="148">
        <v>25993810</v>
      </c>
      <c r="F26" s="174">
        <v>6</v>
      </c>
      <c r="G26" s="148">
        <v>383506975</v>
      </c>
      <c r="H26" s="174">
        <v>3</v>
      </c>
      <c r="I26" s="148">
        <v>19359182</v>
      </c>
      <c r="J26" s="174">
        <v>8</v>
      </c>
      <c r="K26" s="148">
        <v>55479848</v>
      </c>
      <c r="L26" s="174">
        <v>29</v>
      </c>
      <c r="M26" s="157">
        <v>523421770</v>
      </c>
    </row>
    <row r="30" spans="1:25" s="6" customFormat="1" x14ac:dyDescent="0.25">
      <c r="A30" s="1040" t="s">
        <v>519</v>
      </c>
      <c r="B30" s="1040"/>
      <c r="C30" s="1040"/>
      <c r="D30" s="1040"/>
      <c r="E30" s="1040"/>
      <c r="F30" s="1040"/>
      <c r="G30" s="1040"/>
      <c r="H30" s="1040"/>
      <c r="I30" s="1040"/>
      <c r="Y30" s="177"/>
    </row>
    <row r="31" spans="1:25" x14ac:dyDescent="0.25">
      <c r="A31" t="s">
        <v>520</v>
      </c>
      <c r="B31">
        <v>1</v>
      </c>
    </row>
  </sheetData>
  <mergeCells count="3">
    <mergeCell ref="A1:I1"/>
    <mergeCell ref="A18:I18"/>
    <mergeCell ref="A30:I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opLeftCell="C1" zoomScale="66" zoomScaleNormal="66" workbookViewId="0">
      <selection activeCell="O51" sqref="O46:Q51"/>
    </sheetView>
  </sheetViews>
  <sheetFormatPr baseColWidth="10" defaultRowHeight="15" x14ac:dyDescent="0.25"/>
  <cols>
    <col min="1" max="1" width="27.7109375" style="6" hidden="1" customWidth="1"/>
    <col min="2" max="2" width="42" style="6" hidden="1" customWidth="1"/>
    <col min="3" max="3" width="9.140625" style="6" customWidth="1"/>
    <col min="4" max="4" width="13.85546875" style="6" customWidth="1"/>
    <col min="5" max="5" width="64.7109375" style="6" customWidth="1"/>
    <col min="6" max="6" width="12.140625" style="6" customWidth="1"/>
    <col min="7" max="7" width="11.42578125" style="6"/>
    <col min="8" max="9" width="17.28515625" style="6" customWidth="1"/>
    <col min="10" max="11" width="16.85546875" style="6" customWidth="1"/>
    <col min="12" max="12" width="12.7109375" style="6" customWidth="1"/>
    <col min="13" max="13" width="20" style="6" customWidth="1"/>
    <col min="14" max="14" width="17.140625" style="6" customWidth="1"/>
    <col min="15" max="15" width="22.42578125" style="6" customWidth="1"/>
    <col min="16" max="16" width="23.5703125" style="6" customWidth="1"/>
    <col min="17" max="17" width="21.28515625" style="6" customWidth="1"/>
    <col min="18" max="18" width="11.42578125" style="6"/>
    <col min="19" max="19" width="21.140625" style="6" customWidth="1"/>
    <col min="20" max="20" width="11.5703125" style="6" bestFit="1" customWidth="1"/>
    <col min="21" max="21" width="21.140625" style="6" customWidth="1"/>
    <col min="22" max="24" width="11.42578125" style="138"/>
    <col min="25" max="25" width="11.42578125" style="6"/>
    <col min="26" max="26" width="19" style="6" customWidth="1"/>
    <col min="27" max="16384" width="11.42578125" style="6"/>
  </cols>
  <sheetData>
    <row r="1" spans="1:26" ht="48.75" customHeight="1" x14ac:dyDescent="0.25">
      <c r="A1" s="71" t="s">
        <v>302</v>
      </c>
      <c r="B1" s="53" t="s">
        <v>25</v>
      </c>
      <c r="C1" s="136" t="s">
        <v>183</v>
      </c>
      <c r="D1" s="136" t="s">
        <v>289</v>
      </c>
      <c r="E1" s="53" t="s">
        <v>6</v>
      </c>
      <c r="F1" s="53" t="s">
        <v>7</v>
      </c>
      <c r="G1" s="53" t="s">
        <v>8</v>
      </c>
      <c r="H1" s="58" t="s">
        <v>250</v>
      </c>
      <c r="I1" s="58" t="s">
        <v>502</v>
      </c>
      <c r="J1" s="136" t="s">
        <v>10</v>
      </c>
      <c r="K1" s="137" t="s">
        <v>480</v>
      </c>
      <c r="L1" s="136" t="s">
        <v>11</v>
      </c>
      <c r="M1" s="136" t="s">
        <v>217</v>
      </c>
      <c r="N1" s="136" t="s">
        <v>214</v>
      </c>
      <c r="O1" s="54" t="s">
        <v>1</v>
      </c>
      <c r="P1" s="55" t="s">
        <v>2</v>
      </c>
      <c r="Q1" s="56" t="s">
        <v>3</v>
      </c>
      <c r="R1" s="57" t="s">
        <v>249</v>
      </c>
      <c r="S1" s="81" t="s">
        <v>246</v>
      </c>
      <c r="T1" s="81" t="s">
        <v>247</v>
      </c>
      <c r="U1" s="52" t="s">
        <v>248</v>
      </c>
      <c r="V1" s="134" t="s">
        <v>222</v>
      </c>
      <c r="W1" s="74" t="s">
        <v>512</v>
      </c>
      <c r="X1" s="74" t="s">
        <v>515</v>
      </c>
      <c r="Y1" s="135" t="s">
        <v>223</v>
      </c>
      <c r="Z1" s="135" t="s">
        <v>224</v>
      </c>
    </row>
    <row r="2" spans="1:26" ht="90" x14ac:dyDescent="0.25">
      <c r="A2" s="1" t="s">
        <v>293</v>
      </c>
      <c r="B2" s="1" t="s">
        <v>125</v>
      </c>
      <c r="C2" s="1">
        <f>+'GASTOS GENERALES'!C9</f>
        <v>263</v>
      </c>
      <c r="D2" s="1">
        <f>+'GASTOS GENERALES'!D9</f>
        <v>1</v>
      </c>
      <c r="E2" s="1" t="str">
        <f>+'GASTOS GENERALES'!E9</f>
        <v>Compra de dotación  Integral (vestido y calzado de labor), que tienen derecho a ella por disposiciones de Ley para el año 2017</v>
      </c>
      <c r="F2" s="1">
        <f>+'GASTOS GENERALES'!F9</f>
        <v>93141506</v>
      </c>
      <c r="G2" s="1" t="str">
        <f>+'GASTOS GENERALES'!G9</f>
        <v>Profesional Especializado 222-03 
Área de Talento Humano</v>
      </c>
      <c r="H2" s="1" t="str">
        <f>+'GASTOS GENERALES'!H9</f>
        <v>Subdirección Administrativa financiera</v>
      </c>
      <c r="I2" s="1" t="s">
        <v>505</v>
      </c>
      <c r="J2" s="1" t="str">
        <f>+'GASTOS GENERALES'!J9</f>
        <v>Mayo</v>
      </c>
      <c r="K2" s="1"/>
      <c r="L2" s="1">
        <f>+'GASTOS GENERALES'!K9</f>
        <v>1</v>
      </c>
      <c r="M2" s="1" t="str">
        <f>+'GASTOS GENERALES'!L9</f>
        <v>TIENDA VIRTUAL - COLOMBIA COMPRA EFICIENTE</v>
      </c>
      <c r="N2" s="1" t="str">
        <f>+'GASTOS GENERALES'!M9</f>
        <v>Selección 
Abreviada</v>
      </c>
      <c r="O2" s="80">
        <f>+'GASTOS GENERALES'!N9</f>
        <v>1358990</v>
      </c>
      <c r="P2" s="117">
        <f>+'GASTOS GENERALES'!O9</f>
        <v>0</v>
      </c>
      <c r="Q2" s="70">
        <f>+'GASTOS GENERALES'!P9</f>
        <v>1358990</v>
      </c>
      <c r="R2" s="1">
        <f>+'GASTOS GENERALES'!Q9</f>
        <v>1</v>
      </c>
      <c r="S2" s="1">
        <f>+'GASTOS GENERALES'!R9</f>
        <v>1358990</v>
      </c>
      <c r="T2" s="1">
        <f>+'GASTOS GENERALES'!S9</f>
        <v>0</v>
      </c>
      <c r="U2" s="1">
        <f>+'GASTOS GENERALES'!T9</f>
        <v>1358990</v>
      </c>
      <c r="V2" s="2">
        <f>+'GASTOS GENERALES'!U9</f>
        <v>42873</v>
      </c>
      <c r="W2" s="2" t="s">
        <v>56</v>
      </c>
      <c r="X2" s="2"/>
      <c r="Y2" s="1" t="str">
        <f>+'GASTOS GENERALES'!V9</f>
        <v>83-84-85-86</v>
      </c>
      <c r="Z2" s="1" t="str">
        <f>+'GASTOS GENERALES'!W9</f>
        <v>varios</v>
      </c>
    </row>
    <row r="3" spans="1:26" ht="60.75" customHeight="1" x14ac:dyDescent="0.25">
      <c r="A3" s="1" t="s">
        <v>293</v>
      </c>
      <c r="B3" s="1" t="s">
        <v>125</v>
      </c>
      <c r="C3" s="1">
        <f>+'GASTOS GENERALES'!C10</f>
        <v>310</v>
      </c>
      <c r="D3" s="1">
        <f>+'GASTOS GENERALES'!D10</f>
        <v>33</v>
      </c>
      <c r="E3" s="1" t="str">
        <f>+'GASTOS GENERALES'!E10</f>
        <v>Compra de dotación  Integral (vestido y calzado de labor) para los funcionarios del IDEP,  que tienen derecho a ella por disposiciones de Ley para el año 2017 para el último periodo del año comprendidos entre septiembre y diciembre de 2017.</v>
      </c>
      <c r="F3" s="1">
        <f>+'GASTOS GENERALES'!F10</f>
        <v>93141506</v>
      </c>
      <c r="G3" s="1" t="str">
        <f>+'GASTOS GENERALES'!G10</f>
        <v>Profesional Especializado 222-03 
Área de Talento Humano</v>
      </c>
      <c r="H3" s="1" t="str">
        <f>+'GASTOS GENERALES'!H10</f>
        <v>Subdirección Administrativa financiera</v>
      </c>
      <c r="I3" s="1"/>
      <c r="J3" s="1" t="str">
        <f>+'GASTOS GENERALES'!J10</f>
        <v xml:space="preserve">Noviembre </v>
      </c>
      <c r="K3" s="1" t="s">
        <v>480</v>
      </c>
      <c r="L3" s="1">
        <f>+'GASTOS GENERALES'!K10</f>
        <v>1</v>
      </c>
      <c r="M3" s="1" t="str">
        <f>+'GASTOS GENERALES'!L10</f>
        <v>Minima cuantia</v>
      </c>
      <c r="N3" s="1" t="str">
        <f>+'GASTOS GENERALES'!M10</f>
        <v>Minima cuantia</v>
      </c>
      <c r="O3" s="80">
        <f>+'GASTOS GENERALES'!N10</f>
        <v>917847</v>
      </c>
      <c r="P3" s="117">
        <f>+'GASTOS GENERALES'!O10</f>
        <v>0</v>
      </c>
      <c r="Q3" s="70">
        <f>+'GASTOS GENERALES'!P10</f>
        <v>917847</v>
      </c>
      <c r="R3" s="1">
        <f>+'GASTOS GENERALES'!Q10</f>
        <v>0</v>
      </c>
      <c r="S3" s="1">
        <f>+'GASTOS GENERALES'!R10</f>
        <v>917847</v>
      </c>
      <c r="T3" s="1">
        <f>+'GASTOS GENERALES'!S10</f>
        <v>0</v>
      </c>
      <c r="U3" s="1">
        <f>+'GASTOS GENERALES'!T10</f>
        <v>917847</v>
      </c>
      <c r="V3" s="2"/>
      <c r="W3" s="2"/>
      <c r="X3" s="2"/>
      <c r="Y3" s="1">
        <f>+'GASTOS GENERALES'!V10</f>
        <v>115</v>
      </c>
      <c r="Z3" s="1" t="str">
        <f>+'GASTOS GENERALES'!W10</f>
        <v>MANUFACTURAS LA FE S.A.S</v>
      </c>
    </row>
    <row r="4" spans="1:26" ht="39" customHeight="1" x14ac:dyDescent="0.25">
      <c r="A4" s="1" t="s">
        <v>293</v>
      </c>
      <c r="B4" s="1" t="s">
        <v>125</v>
      </c>
      <c r="C4" s="1">
        <f>+'GASTOS GENERALES'!C14</f>
        <v>299</v>
      </c>
      <c r="D4" s="1">
        <f>+'GASTOS GENERALES'!D14</f>
        <v>4</v>
      </c>
      <c r="E4" s="1" t="str">
        <f>+'GASTOS GENERALES'!E14</f>
        <v>Prestación de servicios  de soporte y actualización del sistema de información administrativo y financiero  del IDEP</v>
      </c>
      <c r="F4" s="1">
        <f>+'GASTOS GENERALES'!F14</f>
        <v>81111811</v>
      </c>
      <c r="G4" s="1" t="str">
        <f>+'GASTOS GENERALES'!G14</f>
        <v>Jefe Oficina  Asesora de planeación</v>
      </c>
      <c r="H4" s="1" t="str">
        <f>+'GASTOS GENERALES'!H14</f>
        <v>Oficina Asesora de Planeación</v>
      </c>
      <c r="I4" s="1" t="s">
        <v>310</v>
      </c>
      <c r="J4" s="1" t="str">
        <f>+'GASTOS GENERALES'!J14</f>
        <v>Noviembre</v>
      </c>
      <c r="K4" s="1"/>
      <c r="L4" s="1">
        <f>+'GASTOS GENERALES'!K14</f>
        <v>9</v>
      </c>
      <c r="M4" s="1" t="str">
        <f>+'GASTOS GENERALES'!L14</f>
        <v>CONTRATACIÓN DIRECTA</v>
      </c>
      <c r="N4" s="1" t="str">
        <f>+'GASTOS GENERALES'!M14</f>
        <v>Contratación
 Directa</v>
      </c>
      <c r="O4" s="80">
        <f>+'GASTOS GENERALES'!N14</f>
        <v>44725555</v>
      </c>
      <c r="P4" s="117">
        <f>+'GASTOS GENERALES'!O14</f>
        <v>0</v>
      </c>
      <c r="Q4" s="70">
        <f>+'GASTOS GENERALES'!P14</f>
        <v>44725555</v>
      </c>
      <c r="R4" s="1">
        <f>+'GASTOS GENERALES'!Q14</f>
        <v>0</v>
      </c>
      <c r="S4" s="1">
        <f>+'GASTOS GENERALES'!R14</f>
        <v>44725555</v>
      </c>
      <c r="T4" s="1">
        <f>+'GASTOS GENERALES'!S14</f>
        <v>0</v>
      </c>
      <c r="U4" s="1">
        <f>+'GASTOS GENERALES'!T14</f>
        <v>44725555</v>
      </c>
      <c r="V4" s="2"/>
      <c r="W4" s="2"/>
      <c r="X4" s="2"/>
      <c r="Y4" s="1">
        <f>+'GASTOS GENERALES'!V14</f>
        <v>114</v>
      </c>
      <c r="Z4" s="1" t="str">
        <f>+'GASTOS GENERALES'!W14</f>
        <v>IT GOP S.A.S</v>
      </c>
    </row>
    <row r="5" spans="1:26" ht="58.5" customHeight="1" x14ac:dyDescent="0.25">
      <c r="A5" s="1" t="s">
        <v>293</v>
      </c>
      <c r="B5" s="1" t="s">
        <v>125</v>
      </c>
      <c r="C5" s="1">
        <f>+'GASTOS GENERALES'!C16</f>
        <v>192</v>
      </c>
      <c r="D5" s="1">
        <f>+'GASTOS GENERALES'!D16</f>
        <v>14</v>
      </c>
      <c r="E5" s="1" t="str">
        <f>+'GASTOS GENERALES'!E16</f>
        <v>Adición No. 1 al contrato No. 34 de 2016 Prestación de servicio  de soporte y actualización del sistema de información administrativa y financiera SIAFI del IDEP</v>
      </c>
      <c r="F5" s="1">
        <f>+'GASTOS GENERALES'!F16</f>
        <v>81111811</v>
      </c>
      <c r="G5" s="1" t="str">
        <f>+'GASTOS GENERALES'!G16</f>
        <v>Jefe Oficina  Asesora de planeación</v>
      </c>
      <c r="H5" s="1" t="str">
        <f>+'GASTOS GENERALES'!H16</f>
        <v>Oficina Asesora de Planeación</v>
      </c>
      <c r="I5" s="1" t="s">
        <v>310</v>
      </c>
      <c r="J5" s="1" t="str">
        <f>+'GASTOS GENERALES'!J16</f>
        <v>Marzo</v>
      </c>
      <c r="K5" s="1"/>
      <c r="L5" s="1">
        <f>+'GASTOS GENERALES'!K16</f>
        <v>4</v>
      </c>
      <c r="M5" s="1" t="str">
        <f>+'GASTOS GENERALES'!L16</f>
        <v>CONTRATACIÓN DIRECTA</v>
      </c>
      <c r="N5" s="1" t="str">
        <f>+'GASTOS GENERALES'!M16</f>
        <v>Contratación
 Directa</v>
      </c>
      <c r="O5" s="80">
        <f>+'GASTOS GENERALES'!N16</f>
        <v>16660000</v>
      </c>
      <c r="P5" s="117">
        <f>+'GASTOS GENERALES'!O16</f>
        <v>0</v>
      </c>
      <c r="Q5" s="70">
        <f>+'GASTOS GENERALES'!P16</f>
        <v>16660000</v>
      </c>
      <c r="R5" s="1">
        <f>+'GASTOS GENERALES'!Q16</f>
        <v>1</v>
      </c>
      <c r="S5" s="1">
        <f>+'GASTOS GENERALES'!R16</f>
        <v>16660000</v>
      </c>
      <c r="T5" s="1">
        <f>+'GASTOS GENERALES'!S16</f>
        <v>0</v>
      </c>
      <c r="U5" s="1">
        <f>+'GASTOS GENERALES'!T16</f>
        <v>16660000</v>
      </c>
      <c r="V5" s="2">
        <f>+'GASTOS GENERALES'!U16</f>
        <v>42818</v>
      </c>
      <c r="W5" s="2" t="s">
        <v>87</v>
      </c>
      <c r="X5" s="2"/>
      <c r="Y5" s="1">
        <f>+'GASTOS GENERALES'!V16</f>
        <v>34</v>
      </c>
      <c r="Z5" s="1" t="str">
        <f>+'GASTOS GENERALES'!W16</f>
        <v>ITGO S.A.S</v>
      </c>
    </row>
    <row r="6" spans="1:26" ht="58.5" customHeight="1" x14ac:dyDescent="0.25">
      <c r="A6" s="1" t="s">
        <v>293</v>
      </c>
      <c r="B6" s="1" t="s">
        <v>125</v>
      </c>
      <c r="C6" s="1">
        <f>+'GASTOS GENERALES'!C17</f>
        <v>193</v>
      </c>
      <c r="D6" s="1">
        <f>+'GASTOS GENERALES'!D17</f>
        <v>6</v>
      </c>
      <c r="E6" s="1" t="str">
        <f>+'GASTOS GENERALES'!E17</f>
        <v>Prestación de servicio  de soporte, actualización y mantenimiento al sistema de información HUMANO</v>
      </c>
      <c r="F6" s="1">
        <f>+'GASTOS GENERALES'!F17</f>
        <v>81111811</v>
      </c>
      <c r="G6" s="1" t="str">
        <f>+'GASTOS GENERALES'!G17</f>
        <v>Jefe Oficina  Asesora de planeación</v>
      </c>
      <c r="H6" s="1" t="str">
        <f>+'GASTOS GENERALES'!H17</f>
        <v>Oficina Asesora de Planeación</v>
      </c>
      <c r="I6" s="1" t="s">
        <v>310</v>
      </c>
      <c r="J6" s="1" t="s">
        <v>63</v>
      </c>
      <c r="K6" s="1"/>
      <c r="L6" s="1">
        <f>+'GASTOS GENERALES'!K17</f>
        <v>12</v>
      </c>
      <c r="M6" s="1" t="str">
        <f>+'GASTOS GENERALES'!L17</f>
        <v>CONTRATACIÓN DIRECTA</v>
      </c>
      <c r="N6" s="1" t="str">
        <f>+'GASTOS GENERALES'!M17</f>
        <v>Contratación
 Directa</v>
      </c>
      <c r="O6" s="80">
        <f>+'GASTOS GENERALES'!N17</f>
        <v>18175685</v>
      </c>
      <c r="P6" s="117">
        <f>+'GASTOS GENERALES'!O17</f>
        <v>0</v>
      </c>
      <c r="Q6" s="70">
        <f>+'GASTOS GENERALES'!P17</f>
        <v>18175685</v>
      </c>
      <c r="R6" s="1">
        <f>+'GASTOS GENERALES'!Q17</f>
        <v>1</v>
      </c>
      <c r="S6" s="1">
        <f>+'GASTOS GENERALES'!R17</f>
        <v>18175685</v>
      </c>
      <c r="T6" s="1">
        <f>+'GASTOS GENERALES'!S17</f>
        <v>0</v>
      </c>
      <c r="U6" s="1">
        <f>+'GASTOS GENERALES'!T17</f>
        <v>18175685</v>
      </c>
      <c r="V6" s="2">
        <f>+'GASTOS GENERALES'!U17</f>
        <v>42822</v>
      </c>
      <c r="W6" s="2" t="s">
        <v>87</v>
      </c>
      <c r="X6" s="2"/>
      <c r="Y6" s="1">
        <f>+'GASTOS GENERALES'!V17</f>
        <v>40</v>
      </c>
      <c r="Z6" s="1" t="str">
        <f>+'GASTOS GENERALES'!W17</f>
        <v>SOPORTE LOGICO</v>
      </c>
    </row>
    <row r="7" spans="1:26" ht="45" x14ac:dyDescent="0.25">
      <c r="A7" s="1" t="s">
        <v>293</v>
      </c>
      <c r="B7" s="1" t="s">
        <v>125</v>
      </c>
      <c r="C7" s="1">
        <f>+'GASTOS GENERALES'!C18</f>
        <v>9</v>
      </c>
      <c r="D7" s="1">
        <f>+'GASTOS GENERALES'!D18</f>
        <v>8</v>
      </c>
      <c r="E7" s="1" t="str">
        <f>+'GASTOS GENERALES'!E18</f>
        <v xml:space="preserve">Prestación de servicios para la renovación de la  licencia "Oracle Database Standard Edición - Processor Perpetual" con nivel de servicios "Software Update License &amp; Support" </v>
      </c>
      <c r="F7" s="1">
        <f>+'GASTOS GENERALES'!F18</f>
        <v>81112500</v>
      </c>
      <c r="G7" s="1" t="str">
        <f>+'GASTOS GENERALES'!G18</f>
        <v>Jefe Oficina  Asesora de planeación</v>
      </c>
      <c r="H7" s="1" t="str">
        <f>+'GASTOS GENERALES'!H18</f>
        <v>Oficina Asesora de Planeación</v>
      </c>
      <c r="I7" s="1" t="s">
        <v>310</v>
      </c>
      <c r="J7" s="1" t="str">
        <f>+'GASTOS GENERALES'!J18</f>
        <v>Enero</v>
      </c>
      <c r="K7" s="1"/>
      <c r="L7" s="1">
        <f>+'GASTOS GENERALES'!K18</f>
        <v>12</v>
      </c>
      <c r="M7" s="1" t="str">
        <f>+'GASTOS GENERALES'!L18</f>
        <v>TIENDA VIRTUAL - COLOMBIA COMPRA EFICIENTE</v>
      </c>
      <c r="N7" s="1" t="str">
        <f>+'GASTOS GENERALES'!M18</f>
        <v>Contratación
 Directa</v>
      </c>
      <c r="O7" s="80">
        <f>+'GASTOS GENERALES'!N18</f>
        <v>7647414</v>
      </c>
      <c r="P7" s="117">
        <f>+'GASTOS GENERALES'!O18</f>
        <v>0</v>
      </c>
      <c r="Q7" s="70">
        <f>+'GASTOS GENERALES'!P18</f>
        <v>7647414</v>
      </c>
      <c r="R7" s="1">
        <f>+'GASTOS GENERALES'!Q18</f>
        <v>1</v>
      </c>
      <c r="S7" s="1">
        <f>+'GASTOS GENERALES'!R18</f>
        <v>7647414</v>
      </c>
      <c r="T7" s="1">
        <f>+'GASTOS GENERALES'!S18</f>
        <v>0</v>
      </c>
      <c r="U7" s="1">
        <f>+'GASTOS GENERALES'!T18</f>
        <v>7647414</v>
      </c>
      <c r="V7" s="2">
        <f>+'GASTOS GENERALES'!U18</f>
        <v>42766</v>
      </c>
      <c r="W7" s="2" t="s">
        <v>72</v>
      </c>
      <c r="X7" s="2"/>
      <c r="Y7" s="1">
        <f>+'GASTOS GENERALES'!V18</f>
        <v>4</v>
      </c>
      <c r="Z7" s="1" t="str">
        <f>+'GASTOS GENERALES'!W18</f>
        <v>ORACLE COLOMBIA LTDA</v>
      </c>
    </row>
    <row r="8" spans="1:26" ht="45" x14ac:dyDescent="0.25">
      <c r="A8" s="1" t="s">
        <v>293</v>
      </c>
      <c r="B8" s="1" t="s">
        <v>125</v>
      </c>
      <c r="C8" s="1">
        <f>+'GASTOS GENERALES'!C19</f>
        <v>10</v>
      </c>
      <c r="D8" s="1">
        <f>+'GASTOS GENERALES'!D19</f>
        <v>9</v>
      </c>
      <c r="E8" s="1" t="str">
        <f>+'GASTOS GENERALES'!E19</f>
        <v>Prestación de servicio para realizar el mantenimiento preventivo y correctivo de la unidad de Aire Acondicionado del cuarto de Servidores del IDEP</v>
      </c>
      <c r="F8" s="1">
        <f>+'GASTOS GENERALES'!F19</f>
        <v>40101701</v>
      </c>
      <c r="G8" s="1" t="str">
        <f>+'GASTOS GENERALES'!G19</f>
        <v>Jefe Oficina  Asesora de planeación</v>
      </c>
      <c r="H8" s="1" t="str">
        <f>+'GASTOS GENERALES'!H19</f>
        <v>Oficina Asesora de Planeación</v>
      </c>
      <c r="I8" s="1" t="s">
        <v>310</v>
      </c>
      <c r="J8" s="1" t="str">
        <f>+'GASTOS GENERALES'!J19</f>
        <v>Mayo</v>
      </c>
      <c r="K8" s="1"/>
      <c r="L8" s="1">
        <f>+'GASTOS GENERALES'!K19</f>
        <v>12</v>
      </c>
      <c r="M8" s="1" t="str">
        <f>+'GASTOS GENERALES'!L19</f>
        <v>MINIMA CUANTÍA</v>
      </c>
      <c r="N8" s="1" t="str">
        <f>+'GASTOS GENERALES'!M19</f>
        <v>Minima cuantia</v>
      </c>
      <c r="O8" s="80">
        <f>+'GASTOS GENERALES'!N19</f>
        <v>1010000</v>
      </c>
      <c r="P8" s="117">
        <f>+'GASTOS GENERALES'!O19</f>
        <v>0</v>
      </c>
      <c r="Q8" s="70">
        <f>+'GASTOS GENERALES'!P19</f>
        <v>1010000</v>
      </c>
      <c r="R8" s="1">
        <f>+'GASTOS GENERALES'!Q19</f>
        <v>1</v>
      </c>
      <c r="S8" s="1">
        <f>+'GASTOS GENERALES'!R19</f>
        <v>1010000</v>
      </c>
      <c r="T8" s="1">
        <f>+'GASTOS GENERALES'!S19</f>
        <v>0</v>
      </c>
      <c r="U8" s="1">
        <f>+'GASTOS GENERALES'!T19</f>
        <v>1010000</v>
      </c>
      <c r="V8" s="2">
        <f>+'GASTOS GENERALES'!U19</f>
        <v>42867</v>
      </c>
      <c r="W8" s="2" t="s">
        <v>56</v>
      </c>
      <c r="X8" s="2"/>
      <c r="Y8" s="1">
        <f>+'GASTOS GENERALES'!V19</f>
        <v>79</v>
      </c>
      <c r="Z8" s="1" t="str">
        <f>+'GASTOS GENERALES'!W19</f>
        <v>CARLOS SOLANO REY</v>
      </c>
    </row>
    <row r="9" spans="1:26" ht="61.5" customHeight="1" x14ac:dyDescent="0.25">
      <c r="A9" s="1" t="s">
        <v>293</v>
      </c>
      <c r="B9" s="1" t="s">
        <v>125</v>
      </c>
      <c r="C9" s="1">
        <f>+'GASTOS GENERALES'!C20</f>
        <v>12</v>
      </c>
      <c r="D9" s="1">
        <f>+'GASTOS GENERALES'!D20</f>
        <v>13</v>
      </c>
      <c r="E9" s="1" t="str">
        <f>+'GASTOS GENERALES'!E20</f>
        <v>Prestación de servicio para realizar
el mantenimiento preventivo y correctivo de los equipos que conforman la  plataforma tecnológica del IDEP.</v>
      </c>
      <c r="F9" s="1">
        <f>+'GASTOS GENERALES'!F20</f>
        <v>81111812</v>
      </c>
      <c r="G9" s="1" t="str">
        <f>+'GASTOS GENERALES'!G20</f>
        <v>Jefe Oficina  Asesora de planeación</v>
      </c>
      <c r="H9" s="1" t="str">
        <f>+'GASTOS GENERALES'!H20</f>
        <v>Oficina Asesora de Planeación</v>
      </c>
      <c r="I9" s="1" t="s">
        <v>310</v>
      </c>
      <c r="J9" s="1" t="str">
        <f>+'GASTOS GENERALES'!J20</f>
        <v>Mayo</v>
      </c>
      <c r="K9" s="1"/>
      <c r="L9" s="1">
        <f>+'GASTOS GENERALES'!K20</f>
        <v>11</v>
      </c>
      <c r="M9" s="1" t="str">
        <f>+'GASTOS GENERALES'!L20</f>
        <v>MINIMA CUANTÍA</v>
      </c>
      <c r="N9" s="1" t="str">
        <f>+'GASTOS GENERALES'!M20</f>
        <v>Mínima Cuantía</v>
      </c>
      <c r="O9" s="80">
        <f>+'GASTOS GENERALES'!N20</f>
        <v>5599360</v>
      </c>
      <c r="P9" s="117">
        <f>+'GASTOS GENERALES'!O20</f>
        <v>0</v>
      </c>
      <c r="Q9" s="70">
        <f>+'GASTOS GENERALES'!P20</f>
        <v>5599360</v>
      </c>
      <c r="R9" s="1">
        <f>+'GASTOS GENERALES'!Q20</f>
        <v>1</v>
      </c>
      <c r="S9" s="1">
        <f>+'GASTOS GENERALES'!R20</f>
        <v>5599360</v>
      </c>
      <c r="T9" s="1">
        <f>+'GASTOS GENERALES'!S20</f>
        <v>0</v>
      </c>
      <c r="U9" s="1">
        <f>+'GASTOS GENERALES'!T20</f>
        <v>5599360</v>
      </c>
      <c r="V9" s="2">
        <f>+'GASTOS GENERALES'!U20</f>
        <v>42867</v>
      </c>
      <c r="W9" s="2" t="s">
        <v>56</v>
      </c>
      <c r="X9" s="2"/>
      <c r="Y9" s="1">
        <f>+'GASTOS GENERALES'!V20</f>
        <v>80</v>
      </c>
      <c r="Z9" s="1" t="str">
        <f>+'GASTOS GENERALES'!W20</f>
        <v>AA MANTENIMIENTO Y COMPUTADORES S.A.S.</v>
      </c>
    </row>
    <row r="10" spans="1:26" ht="50.25" customHeight="1" x14ac:dyDescent="0.25">
      <c r="A10" s="1" t="s">
        <v>293</v>
      </c>
      <c r="B10" s="1" t="s">
        <v>125</v>
      </c>
      <c r="C10" s="1">
        <f>+'GASTOS GENERALES'!C21</f>
        <v>15</v>
      </c>
      <c r="D10" s="1">
        <f>+'GASTOS GENERALES'!D21</f>
        <v>11</v>
      </c>
      <c r="E10" s="1" t="str">
        <f>+'GASTOS GENERALES'!E21</f>
        <v>Prestación de servicios para la adquisición de licencias Google Apps</v>
      </c>
      <c r="F10" s="1">
        <f>+'GASTOS GENERALES'!F21</f>
        <v>81112501</v>
      </c>
      <c r="G10" s="1" t="str">
        <f>+'GASTOS GENERALES'!G21</f>
        <v>Jefe Oficina  Asesora de planeación</v>
      </c>
      <c r="H10" s="1" t="str">
        <f>+'GASTOS GENERALES'!H21</f>
        <v>Oficina Asesora de Planeación</v>
      </c>
      <c r="I10" s="1" t="s">
        <v>310</v>
      </c>
      <c r="J10" s="1" t="s">
        <v>63</v>
      </c>
      <c r="K10" s="1"/>
      <c r="L10" s="1">
        <f>+'GASTOS GENERALES'!K21</f>
        <v>8</v>
      </c>
      <c r="M10" s="1" t="str">
        <f>+'GASTOS GENERALES'!L21</f>
        <v>TIENDA VIRTUAL - COLOMBIA COMPRA EFICIENTE</v>
      </c>
      <c r="N10" s="1" t="str">
        <f>+'GASTOS GENERALES'!M21</f>
        <v>Selección
 Abreviada</v>
      </c>
      <c r="O10" s="80">
        <f>+'GASTOS GENERALES'!N21</f>
        <v>14950762</v>
      </c>
      <c r="P10" s="117">
        <f>+'GASTOS GENERALES'!O21</f>
        <v>0</v>
      </c>
      <c r="Q10" s="70">
        <f>+'GASTOS GENERALES'!P21</f>
        <v>14950762</v>
      </c>
      <c r="R10" s="1">
        <f>+'GASTOS GENERALES'!Q21</f>
        <v>1</v>
      </c>
      <c r="S10" s="1">
        <f>+'GASTOS GENERALES'!R21</f>
        <v>14950762</v>
      </c>
      <c r="T10" s="1">
        <f>+'GASTOS GENERALES'!S21</f>
        <v>0</v>
      </c>
      <c r="U10" s="1">
        <f>+'GASTOS GENERALES'!T21</f>
        <v>14950762</v>
      </c>
      <c r="V10" s="2">
        <f>+'GASTOS GENERALES'!U21</f>
        <v>42832</v>
      </c>
      <c r="W10" s="2" t="s">
        <v>63</v>
      </c>
      <c r="X10" s="2"/>
      <c r="Y10" s="1">
        <f>+'GASTOS GENERALES'!V21</f>
        <v>44</v>
      </c>
      <c r="Z10" s="1" t="str">
        <f>+'GASTOS GENERALES'!W21</f>
        <v>EFORCERS</v>
      </c>
    </row>
    <row r="11" spans="1:26" ht="41.25" customHeight="1" x14ac:dyDescent="0.25">
      <c r="A11" s="1" t="s">
        <v>293</v>
      </c>
      <c r="B11" s="1" t="s">
        <v>125</v>
      </c>
      <c r="C11" s="1">
        <f>+'GASTOS GENERALES'!C22</f>
        <v>306</v>
      </c>
      <c r="D11" s="1">
        <f>+'GASTOS GENERALES'!D22</f>
        <v>15</v>
      </c>
      <c r="E11" s="1" t="str">
        <f>+'GASTOS GENERALES'!E22</f>
        <v>Prestación de servicios para el suministro, instalación, configuración, soporte técnico y puesta en marcha de las licencias de seguridad perimetral Firewall Appliance de propósito específico.</v>
      </c>
      <c r="F11" s="1" t="str">
        <f>+'GASTOS GENERALES'!F22</f>
        <v>81112500;
81112200</v>
      </c>
      <c r="G11" s="1" t="str">
        <f>+'GASTOS GENERALES'!G22</f>
        <v>Jefe Oficina  Asesora de planeación</v>
      </c>
      <c r="H11" s="1" t="str">
        <f>+'GASTOS GENERALES'!H22</f>
        <v>Oficina Asesora de Planeación</v>
      </c>
      <c r="I11" s="1" t="s">
        <v>310</v>
      </c>
      <c r="J11" s="1" t="str">
        <f>+'GASTOS GENERALES'!J22</f>
        <v>Noviembre</v>
      </c>
      <c r="K11" s="1"/>
      <c r="L11" s="1">
        <f>+'GASTOS GENERALES'!K22</f>
        <v>12</v>
      </c>
      <c r="M11" s="1" t="str">
        <f>+'GASTOS GENERALES'!L22</f>
        <v xml:space="preserve"> 
Selección abreviada Subasta Inversa</v>
      </c>
      <c r="N11" s="1" t="str">
        <f>+'GASTOS GENERALES'!M22</f>
        <v xml:space="preserve"> 
Selección abreviada Subasta Inversa</v>
      </c>
      <c r="O11" s="80">
        <f>+'GASTOS GENERALES'!N22</f>
        <v>35000390</v>
      </c>
      <c r="P11" s="117">
        <f>+'GASTOS GENERALES'!O22</f>
        <v>0</v>
      </c>
      <c r="Q11" s="70">
        <f>+'GASTOS GENERALES'!P22</f>
        <v>35000390</v>
      </c>
      <c r="R11" s="1">
        <f>+'GASTOS GENERALES'!Q22</f>
        <v>0</v>
      </c>
      <c r="S11" s="1">
        <f>+'GASTOS GENERALES'!R22</f>
        <v>35000390</v>
      </c>
      <c r="T11" s="1">
        <f>+'GASTOS GENERALES'!S22</f>
        <v>0</v>
      </c>
      <c r="U11" s="1">
        <f>+'GASTOS GENERALES'!T22</f>
        <v>35000390</v>
      </c>
      <c r="V11" s="2"/>
      <c r="W11" s="2"/>
      <c r="X11" s="2"/>
      <c r="Y11" s="1">
        <f>+'GASTOS GENERALES'!V22</f>
        <v>113</v>
      </c>
      <c r="Z11" s="1" t="str">
        <f>+'GASTOS GENERALES'!W22</f>
        <v>IT SELL CON SEGURIDAD CONSULTORIA SOLUCIONES S.A.S</v>
      </c>
    </row>
    <row r="12" spans="1:26" ht="81" customHeight="1" x14ac:dyDescent="0.25">
      <c r="A12" s="1" t="s">
        <v>293</v>
      </c>
      <c r="B12" s="1" t="s">
        <v>125</v>
      </c>
      <c r="C12" s="1">
        <f>+'GASTOS GENERALES'!C24</f>
        <v>274</v>
      </c>
      <c r="D12" s="1">
        <f>+'GASTOS GENERALES'!D24</f>
        <v>17</v>
      </c>
      <c r="E12" s="1" t="str">
        <f>+'GASTOS GENERALES'!E24</f>
        <v>Adquisición de licencias Suite Ofimática y licencias para la administración de bases de datos.</v>
      </c>
      <c r="F12" s="1" t="str">
        <f>+'GASTOS GENERALES'!F24</f>
        <v>81112500;
81112200</v>
      </c>
      <c r="G12" s="1" t="str">
        <f>+'GASTOS GENERALES'!G24</f>
        <v>Jefe Oficina  Asesora de planeación</v>
      </c>
      <c r="H12" s="1" t="str">
        <f>+'GASTOS GENERALES'!H24</f>
        <v>Oficina Asesora de Planeación</v>
      </c>
      <c r="I12" s="1" t="s">
        <v>310</v>
      </c>
      <c r="J12" s="1" t="str">
        <f>+'GASTOS GENERALES'!J24</f>
        <v>Octubre</v>
      </c>
      <c r="K12" s="1"/>
      <c r="L12" s="1">
        <f>+'GASTOS GENERALES'!K24</f>
        <v>3</v>
      </c>
      <c r="M12" s="1" t="str">
        <f>+'GASTOS GENERALES'!L24</f>
        <v>Mínima Cuantía</v>
      </c>
      <c r="N12" s="1" t="str">
        <f>+'GASTOS GENERALES'!M24</f>
        <v>Mínima Cuantía</v>
      </c>
      <c r="O12" s="80">
        <f>+'GASTOS GENERALES'!N24</f>
        <v>0</v>
      </c>
      <c r="P12" s="117">
        <f>+'GASTOS GENERALES'!O24</f>
        <v>0</v>
      </c>
      <c r="Q12" s="70">
        <f>+'GASTOS GENERALES'!P24</f>
        <v>0</v>
      </c>
      <c r="R12" s="1">
        <f>+'GASTOS GENERALES'!Q24</f>
        <v>0</v>
      </c>
      <c r="S12" s="1">
        <f>+'GASTOS GENERALES'!R24</f>
        <v>0</v>
      </c>
      <c r="T12" s="1">
        <f>+'GASTOS GENERALES'!S24</f>
        <v>0</v>
      </c>
      <c r="U12" s="1">
        <f>+'GASTOS GENERALES'!T24</f>
        <v>0</v>
      </c>
      <c r="V12" s="2"/>
      <c r="W12" s="2"/>
      <c r="X12" s="2"/>
      <c r="Y12" s="1">
        <f>+'GASTOS GENERALES'!V24</f>
        <v>0</v>
      </c>
      <c r="Z12" s="1">
        <f>+'GASTOS GENERALES'!W24</f>
        <v>0</v>
      </c>
    </row>
    <row r="13" spans="1:26" ht="63" customHeight="1" x14ac:dyDescent="0.25">
      <c r="A13" s="1" t="s">
        <v>293</v>
      </c>
      <c r="B13" s="1" t="s">
        <v>125</v>
      </c>
      <c r="C13" s="1">
        <f>+'GASTOS GENERALES'!C27</f>
        <v>312</v>
      </c>
      <c r="D13" s="1">
        <f>+'GASTOS GENERALES'!D27</f>
        <v>34</v>
      </c>
      <c r="E13" s="1" t="str">
        <f>+'GASTOS GENERALES'!E27</f>
        <v>Suministro de combustibles  (Gasolina y Gas vehicular), mediante el sistema electrónico de control (microchip) programable, llantas para los vehículos del Instituto para la Investigación Educativa y el Desarrollo Pedagógico – IDEP.</v>
      </c>
      <c r="F13" s="1" t="str">
        <f>+'GASTOS GENERALES'!F27</f>
        <v xml:space="preserve">15101500  25172504
</v>
      </c>
      <c r="G13" s="1" t="str">
        <f>+'GASTOS GENERALES'!G27</f>
        <v>Profesional Universitario 219-02 Servicios Generales</v>
      </c>
      <c r="H13" s="1" t="str">
        <f>+'GASTOS GENERALES'!H27</f>
        <v>Subdirección Administrativa financiera</v>
      </c>
      <c r="I13" s="1" t="s">
        <v>505</v>
      </c>
      <c r="J13" s="1" t="str">
        <f>+'GASTOS GENERALES'!J27</f>
        <v>Noviembre</v>
      </c>
      <c r="K13" s="1"/>
      <c r="L13" s="1">
        <f>+'GASTOS GENERALES'!K27</f>
        <v>3</v>
      </c>
      <c r="M13" s="1" t="str">
        <f>+'GASTOS GENERALES'!L27</f>
        <v>MINIMA CUANTÍA</v>
      </c>
      <c r="N13" s="1" t="str">
        <f>+'GASTOS GENERALES'!M27</f>
        <v xml:space="preserve">Minima Cuantia </v>
      </c>
      <c r="O13" s="80">
        <f>+'GASTOS GENERALES'!N27</f>
        <v>6541588</v>
      </c>
      <c r="P13" s="117">
        <f>+'GASTOS GENERALES'!O27</f>
        <v>0</v>
      </c>
      <c r="Q13" s="70">
        <f>+'GASTOS GENERALES'!P27</f>
        <v>6541588</v>
      </c>
      <c r="R13" s="1">
        <f>+'GASTOS GENERALES'!Q27</f>
        <v>0</v>
      </c>
      <c r="S13" s="1">
        <f>+'GASTOS GENERALES'!R27</f>
        <v>6541588</v>
      </c>
      <c r="T13" s="1">
        <f>+'GASTOS GENERALES'!S27</f>
        <v>0</v>
      </c>
      <c r="U13" s="1">
        <f>+'GASTOS GENERALES'!T27</f>
        <v>6541588</v>
      </c>
      <c r="V13" s="2"/>
      <c r="W13" s="2"/>
      <c r="X13" s="2"/>
      <c r="Y13" s="1">
        <f>+'GASTOS GENERALES'!V27</f>
        <v>0</v>
      </c>
      <c r="Z13" s="1">
        <f>+'GASTOS GENERALES'!W27</f>
        <v>0</v>
      </c>
    </row>
    <row r="14" spans="1:26" ht="270" x14ac:dyDescent="0.25">
      <c r="A14" s="1" t="s">
        <v>293</v>
      </c>
      <c r="B14" s="1" t="s">
        <v>125</v>
      </c>
      <c r="C14" s="1">
        <f>+'GASTOS GENERALES'!C30</f>
        <v>313</v>
      </c>
      <c r="D14" s="1">
        <f>+'GASTOS GENERALES'!D30</f>
        <v>43</v>
      </c>
      <c r="E14" s="1" t="str">
        <f>+'GASTOS GENERALES'!E30</f>
        <v>Compraventa de papelería, útiles de escritorio y artículos de oficina para la Investigación Educativa y el Desarrollo Pedagógico - IDEP</v>
      </c>
      <c r="F14" s="1" t="str">
        <f>+'GASTOS GENERALES'!F30</f>
        <v xml:space="preserve">14111507  44121613 
44121701 44121704 
44121706 44121708
 44121804 44122119
 31201517 14111530
 42312009 44121630
 44121619 44111515 
44122027 14111514 
44121503 60101312 </v>
      </c>
      <c r="G14" s="1" t="str">
        <f>+'GASTOS GENERALES'!G30</f>
        <v>Profesional Universitario 219-02 Servicios Generales</v>
      </c>
      <c r="H14" s="1" t="str">
        <f>+'GASTOS GENERALES'!H30</f>
        <v>Subdirección Administrativa financiera</v>
      </c>
      <c r="I14" s="1" t="s">
        <v>505</v>
      </c>
      <c r="J14" s="1" t="str">
        <f>+'GASTOS GENERALES'!J30</f>
        <v xml:space="preserve">Noviembre </v>
      </c>
      <c r="K14" s="1"/>
      <c r="L14" s="1">
        <f>+'GASTOS GENERALES'!K30</f>
        <v>2</v>
      </c>
      <c r="M14" s="1" t="str">
        <f>+'GASTOS GENERALES'!L30</f>
        <v>TIENDA VIRTUAL - COLOMBIA COMPRA EFICIENTE</v>
      </c>
      <c r="N14" s="1" t="str">
        <f>+'GASTOS GENERALES'!M30</f>
        <v>Minima cuantia</v>
      </c>
      <c r="O14" s="80">
        <f>+'GASTOS GENERALES'!N30</f>
        <v>4881212</v>
      </c>
      <c r="P14" s="117">
        <f>+'GASTOS GENERALES'!O30</f>
        <v>0</v>
      </c>
      <c r="Q14" s="70">
        <f>+'GASTOS GENERALES'!P30</f>
        <v>4881212</v>
      </c>
      <c r="R14" s="1">
        <f>+'GASTOS GENERALES'!Q30</f>
        <v>0</v>
      </c>
      <c r="S14" s="1">
        <f>+'GASTOS GENERALES'!R30</f>
        <v>4881212</v>
      </c>
      <c r="T14" s="1">
        <f>+'GASTOS GENERALES'!S30</f>
        <v>0</v>
      </c>
      <c r="U14" s="1">
        <f>+'GASTOS GENERALES'!T30</f>
        <v>4881212</v>
      </c>
      <c r="V14" s="2"/>
      <c r="W14" s="2"/>
      <c r="X14" s="2"/>
      <c r="Y14" s="1">
        <f>+'GASTOS GENERALES'!V30</f>
        <v>116</v>
      </c>
      <c r="Z14" s="1" t="str">
        <f>+'GASTOS GENERALES'!W30</f>
        <v>Proveedores para sistemas y cia SAS</v>
      </c>
    </row>
    <row r="15" spans="1:26" ht="72" customHeight="1" x14ac:dyDescent="0.25">
      <c r="A15" s="1" t="s">
        <v>293</v>
      </c>
      <c r="B15" s="1" t="s">
        <v>125</v>
      </c>
      <c r="C15" s="1">
        <f>+'GASTOS GENERALES'!C32</f>
        <v>0</v>
      </c>
      <c r="D15" s="1">
        <f>+'GASTOS GENERALES'!D32</f>
        <v>0</v>
      </c>
      <c r="E15" s="1" t="str">
        <f>+'GASTOS GENERALES'!E32</f>
        <v>CAJA MENOR</v>
      </c>
      <c r="F15" s="1" t="str">
        <f>+'GASTOS GENERALES'!F32</f>
        <v>NO APLICA</v>
      </c>
      <c r="G15" s="1" t="str">
        <f>+'GASTOS GENERALES'!G32</f>
        <v>Técnico de Contabilidad</v>
      </c>
      <c r="H15" s="1" t="str">
        <f>+'GASTOS GENERALES'!H32</f>
        <v>Subdirección Administrativa financiera</v>
      </c>
      <c r="I15" s="1" t="s">
        <v>505</v>
      </c>
      <c r="J15" s="1" t="str">
        <f>+'GASTOS GENERALES'!J32</f>
        <v>Febrero</v>
      </c>
      <c r="K15" s="1"/>
      <c r="L15" s="1">
        <f>+'GASTOS GENERALES'!K32</f>
        <v>11</v>
      </c>
      <c r="M15" s="1" t="str">
        <f>+'GASTOS GENERALES'!L32</f>
        <v>NA</v>
      </c>
      <c r="N15" s="1" t="str">
        <f>+'GASTOS GENERALES'!M32</f>
        <v>Gastos
 Directos</v>
      </c>
      <c r="O15" s="80">
        <f>+'GASTOS GENERALES'!N32</f>
        <v>2750000</v>
      </c>
      <c r="P15" s="117">
        <f>+'GASTOS GENERALES'!O32</f>
        <v>0</v>
      </c>
      <c r="Q15" s="70">
        <f>+'GASTOS GENERALES'!P32</f>
        <v>2750000</v>
      </c>
      <c r="R15" s="1">
        <f>+'GASTOS GENERALES'!Q32</f>
        <v>0</v>
      </c>
      <c r="S15" s="1">
        <f>+'GASTOS GENERALES'!R32</f>
        <v>1115650</v>
      </c>
      <c r="T15" s="1">
        <f>+'GASTOS GENERALES'!S32</f>
        <v>0</v>
      </c>
      <c r="U15" s="1">
        <f>+'GASTOS GENERALES'!T32</f>
        <v>1115650</v>
      </c>
      <c r="V15" s="2"/>
      <c r="W15" s="2" t="str">
        <f>+J15</f>
        <v>Febrero</v>
      </c>
      <c r="X15" s="2"/>
      <c r="Y15" s="1">
        <f>+'GASTOS GENERALES'!V32</f>
        <v>0</v>
      </c>
      <c r="Z15" s="1">
        <f>+'GASTOS GENERALES'!W32</f>
        <v>0</v>
      </c>
    </row>
    <row r="16" spans="1:26" ht="75" x14ac:dyDescent="0.25">
      <c r="A16" s="1" t="s">
        <v>293</v>
      </c>
      <c r="B16" s="1" t="s">
        <v>125</v>
      </c>
      <c r="C16" s="1">
        <f>+'GASTOS GENERALES'!C35</f>
        <v>175</v>
      </c>
      <c r="D16" s="1">
        <f>+'GASTOS GENERALES'!D35</f>
        <v>23</v>
      </c>
      <c r="E16" s="1" t="str">
        <f>+'GASTOS GENERALES'!E35</f>
        <v>Arrendar el inmueble distinguido como oficina 402 A ubicado en la Avenida Calle 26 No. 69 D-91 Torre Peatonal “Centro Empresarial Arrecife (Etapa II) piso 4to. Propiedad Horizontal”, de la ciudad de Bogotá,  incluyendo los parqueaderos Nros. 265 y 266 del sótano No. 3, con el fin de que allí funcione  la sede  del IDEP.</v>
      </c>
      <c r="F16" s="1">
        <f>+'GASTOS GENERALES'!F35</f>
        <v>80131502</v>
      </c>
      <c r="G16" s="1" t="str">
        <f>+'GASTOS GENERALES'!G35</f>
        <v>Profesional Universitario 219-02 Servicios Generales</v>
      </c>
      <c r="H16" s="1" t="str">
        <f>+'GASTOS GENERALES'!H35</f>
        <v>Subdirección Administrativa financiera</v>
      </c>
      <c r="I16" s="1" t="s">
        <v>505</v>
      </c>
      <c r="J16" s="1" t="str">
        <f>+'GASTOS GENERALES'!J35</f>
        <v>Febrero</v>
      </c>
      <c r="K16" s="1"/>
      <c r="L16" s="1">
        <f>+'GASTOS GENERALES'!K35</f>
        <v>11</v>
      </c>
      <c r="M16" s="1" t="str">
        <f>+'GASTOS GENERALES'!L35</f>
        <v>CONTRATACIÓN DIRECTA</v>
      </c>
      <c r="N16" s="1" t="str">
        <f>+'GASTOS GENERALES'!M35</f>
        <v>Contratación
 Directa</v>
      </c>
      <c r="O16" s="80">
        <f>+'GASTOS GENERALES'!N35</f>
        <v>58195071</v>
      </c>
      <c r="P16" s="117">
        <f>+'GASTOS GENERALES'!O35</f>
        <v>0</v>
      </c>
      <c r="Q16" s="70">
        <f>+'GASTOS GENERALES'!P35</f>
        <v>58195071</v>
      </c>
      <c r="R16" s="1">
        <f>+'GASTOS GENERALES'!Q35</f>
        <v>1</v>
      </c>
      <c r="S16" s="1">
        <f>+'GASTOS GENERALES'!R35</f>
        <v>58195071</v>
      </c>
      <c r="T16" s="1">
        <f>+'GASTOS GENERALES'!S35</f>
        <v>0</v>
      </c>
      <c r="U16" s="1">
        <f>+'GASTOS GENERALES'!T35</f>
        <v>58195071</v>
      </c>
      <c r="V16" s="2">
        <f>+'GASTOS GENERALES'!U35</f>
        <v>42797</v>
      </c>
      <c r="W16" s="2" t="s">
        <v>87</v>
      </c>
      <c r="X16" s="2"/>
      <c r="Y16" s="1">
        <f>+'GASTOS GENERALES'!V35</f>
        <v>22</v>
      </c>
      <c r="Z16" s="1" t="str">
        <f>+'GASTOS GENERALES'!W35</f>
        <v>Inmobiliaria 1 Casa Grande Ltda</v>
      </c>
    </row>
    <row r="17" spans="1:26" ht="75" x14ac:dyDescent="0.25">
      <c r="A17" s="1" t="s">
        <v>293</v>
      </c>
      <c r="B17" s="1" t="s">
        <v>125</v>
      </c>
      <c r="C17" s="1">
        <f>+'GASTOS GENERALES'!C36</f>
        <v>176</v>
      </c>
      <c r="D17" s="1">
        <f>+'GASTOS GENERALES'!D36</f>
        <v>24</v>
      </c>
      <c r="E17" s="1" t="str">
        <f>+'GASTOS GENERALES'!E36</f>
        <v>Arrendar el inmueble distinguido como oficina 402 B ubicado en la Avenida Calle 26 No. 69 D-91 Torre Peatonal “Centro Empresarial Arrecife (Etapa II) piso 4to. Propiedad Horizontal”, de la ciudad de Bogotá,  incluyendo los parqueaderos Nros. 267 y 268 del sótano No. 3, con el fin de que allí funcione  la sede  del IDEP.</v>
      </c>
      <c r="F17" s="1">
        <f>+'GASTOS GENERALES'!F36</f>
        <v>80131502</v>
      </c>
      <c r="G17" s="1" t="str">
        <f>+'GASTOS GENERALES'!G36</f>
        <v>Profesional Universitario 219-02 Servicios Generales</v>
      </c>
      <c r="H17" s="1" t="str">
        <f>+'GASTOS GENERALES'!H36</f>
        <v>Subdirección Administrativa financiera</v>
      </c>
      <c r="I17" s="1" t="s">
        <v>505</v>
      </c>
      <c r="J17" s="1" t="str">
        <f>+'GASTOS GENERALES'!J36</f>
        <v>Febrero</v>
      </c>
      <c r="K17" s="1"/>
      <c r="L17" s="1">
        <f>+'GASTOS GENERALES'!K36</f>
        <v>11</v>
      </c>
      <c r="M17" s="1" t="str">
        <f>+'GASTOS GENERALES'!L36</f>
        <v>CONTRATACIÓN DIRECTA</v>
      </c>
      <c r="N17" s="1" t="str">
        <f>+'GASTOS GENERALES'!M36</f>
        <v>Contratación
 Directa</v>
      </c>
      <c r="O17" s="80">
        <f>+'GASTOS GENERALES'!N36</f>
        <v>83061088</v>
      </c>
      <c r="P17" s="117">
        <f>+'GASTOS GENERALES'!O36</f>
        <v>0</v>
      </c>
      <c r="Q17" s="70">
        <f>+'GASTOS GENERALES'!P36</f>
        <v>83061088</v>
      </c>
      <c r="R17" s="1">
        <f>+'GASTOS GENERALES'!Q36</f>
        <v>1</v>
      </c>
      <c r="S17" s="1">
        <f>+'GASTOS GENERALES'!R36</f>
        <v>83061088</v>
      </c>
      <c r="T17" s="1">
        <f>+'GASTOS GENERALES'!S36</f>
        <v>0</v>
      </c>
      <c r="U17" s="1">
        <f>+'GASTOS GENERALES'!T36</f>
        <v>83061088</v>
      </c>
      <c r="V17" s="2">
        <f>+'GASTOS GENERALES'!U36</f>
        <v>42797</v>
      </c>
      <c r="W17" s="2" t="s">
        <v>87</v>
      </c>
      <c r="X17" s="2"/>
      <c r="Y17" s="1">
        <f>+'GASTOS GENERALES'!V36</f>
        <v>25</v>
      </c>
      <c r="Z17" s="1" t="str">
        <f>+'GASTOS GENERALES'!W36</f>
        <v>Inmobiliaria 1 Casa Grande Ltda</v>
      </c>
    </row>
    <row r="18" spans="1:26" ht="75" x14ac:dyDescent="0.25">
      <c r="A18" s="1" t="s">
        <v>293</v>
      </c>
      <c r="B18" s="1" t="s">
        <v>125</v>
      </c>
      <c r="C18" s="1">
        <f>+'GASTOS GENERALES'!C37</f>
        <v>177</v>
      </c>
      <c r="D18" s="1">
        <f>+'GASTOS GENERALES'!D37</f>
        <v>26</v>
      </c>
      <c r="E18" s="1" t="str">
        <f>+'GASTOS GENERALES'!E37</f>
        <v>Arrendar el inmueble distinguido como oficina 805 ubicado en la Avenida Calle 26 No. 69 D-91 Torre Peatonal “Centro Empresarial Arrecife (Etapa II) piso 8vo. Propiedad Horizontal”, de la ciudad de Bogotá,  incluyendo los parqueaderos Nros. 76, 77 y 115 del sótano No. 2, con el fin de que allí funcione  la sede  del IDEP.</v>
      </c>
      <c r="F18" s="1">
        <f>+'GASTOS GENERALES'!F37</f>
        <v>80131502</v>
      </c>
      <c r="G18" s="1" t="str">
        <f>+'GASTOS GENERALES'!G37</f>
        <v>Profesional Universitario 219-02 Servicios Generales</v>
      </c>
      <c r="H18" s="1" t="str">
        <f>+'GASTOS GENERALES'!H37</f>
        <v>Subdirección Administrativa financiera</v>
      </c>
      <c r="I18" s="1" t="s">
        <v>505</v>
      </c>
      <c r="J18" s="1" t="str">
        <f>+'GASTOS GENERALES'!J37</f>
        <v>Febrero</v>
      </c>
      <c r="K18" s="1"/>
      <c r="L18" s="1">
        <f>+'GASTOS GENERALES'!K37</f>
        <v>11</v>
      </c>
      <c r="M18" s="1" t="str">
        <f>+'GASTOS GENERALES'!L37</f>
        <v>CONTRATACIÓN DIRECTA</v>
      </c>
      <c r="N18" s="1" t="str">
        <f>+'GASTOS GENERALES'!M37</f>
        <v>Contratación
 Directa</v>
      </c>
      <c r="O18" s="80">
        <f>+'GASTOS GENERALES'!N37</f>
        <v>125014362</v>
      </c>
      <c r="P18" s="117">
        <f>+'GASTOS GENERALES'!O37</f>
        <v>0</v>
      </c>
      <c r="Q18" s="70">
        <f>+'GASTOS GENERALES'!P37</f>
        <v>125014362</v>
      </c>
      <c r="R18" s="1">
        <f>+'GASTOS GENERALES'!Q37</f>
        <v>1</v>
      </c>
      <c r="S18" s="1">
        <f>+'GASTOS GENERALES'!R37</f>
        <v>125014362</v>
      </c>
      <c r="T18" s="1">
        <f>+'GASTOS GENERALES'!S37</f>
        <v>0</v>
      </c>
      <c r="U18" s="1">
        <f>+'GASTOS GENERALES'!T37</f>
        <v>125014362</v>
      </c>
      <c r="V18" s="2">
        <f>+'GASTOS GENERALES'!U37</f>
        <v>42797</v>
      </c>
      <c r="W18" s="2" t="s">
        <v>87</v>
      </c>
      <c r="X18" s="2"/>
      <c r="Y18" s="1">
        <f>+'GASTOS GENERALES'!V37</f>
        <v>23</v>
      </c>
      <c r="Z18" s="1" t="str">
        <f>+'GASTOS GENERALES'!W37</f>
        <v>Inmobiliaria 1 Casa Grande Ltda</v>
      </c>
    </row>
    <row r="19" spans="1:26" ht="102.75" customHeight="1" x14ac:dyDescent="0.25">
      <c r="A19" s="1" t="s">
        <v>293</v>
      </c>
      <c r="B19" s="1" t="s">
        <v>125</v>
      </c>
      <c r="C19" s="1">
        <f>+'GASTOS GENERALES'!C38</f>
        <v>178</v>
      </c>
      <c r="D19" s="1">
        <f>+'GASTOS GENERALES'!D38</f>
        <v>28</v>
      </c>
      <c r="E19" s="1" t="str">
        <f>+'GASTOS GENERALES'!E38</f>
        <v>Arrendar el inmueble distinguido como oficina 806 ubicado en la Avenida Calle 26 No. 69 D-91 Torre Peatonal “Centro Empresarial Arrecife (Etapa II) piso 8vo Propiedad Horizontal”, de la ciudad de Bogotá,  incluyendo los parqueaderos Nros. 151 y 152 del sótano No. 2, con el fin de que allí funcione  la sede  del IDEP.</v>
      </c>
      <c r="F19" s="1">
        <f>+'GASTOS GENERALES'!F38</f>
        <v>80131502</v>
      </c>
      <c r="G19" s="1" t="str">
        <f>+'GASTOS GENERALES'!G38</f>
        <v>Profesional Universitario 219-02 Servicios Generales</v>
      </c>
      <c r="H19" s="1" t="str">
        <f>+'GASTOS GENERALES'!H38</f>
        <v>Subdirección Administrativa financiera</v>
      </c>
      <c r="I19" s="1" t="s">
        <v>505</v>
      </c>
      <c r="J19" s="1" t="str">
        <f>+'GASTOS GENERALES'!J38</f>
        <v>Febrero</v>
      </c>
      <c r="K19" s="1"/>
      <c r="L19" s="1">
        <f>+'GASTOS GENERALES'!K38</f>
        <v>11</v>
      </c>
      <c r="M19" s="1" t="str">
        <f>+'GASTOS GENERALES'!L38</f>
        <v>CONTRATACIÓN DIRECTA</v>
      </c>
      <c r="N19" s="1" t="str">
        <f>+'GASTOS GENERALES'!M38</f>
        <v>Contratación
 Directa</v>
      </c>
      <c r="O19" s="80">
        <f>+'GASTOS GENERALES'!N38</f>
        <v>82400769</v>
      </c>
      <c r="P19" s="117">
        <f>+'GASTOS GENERALES'!O38</f>
        <v>0</v>
      </c>
      <c r="Q19" s="70">
        <f>+'GASTOS GENERALES'!P38</f>
        <v>82400769</v>
      </c>
      <c r="R19" s="1">
        <f>+'GASTOS GENERALES'!Q38</f>
        <v>1</v>
      </c>
      <c r="S19" s="1">
        <f>+'GASTOS GENERALES'!R38</f>
        <v>82400769</v>
      </c>
      <c r="T19" s="1">
        <f>+'GASTOS GENERALES'!S38</f>
        <v>0</v>
      </c>
      <c r="U19" s="1">
        <f>+'GASTOS GENERALES'!T38</f>
        <v>82400769</v>
      </c>
      <c r="V19" s="2">
        <f>+'GASTOS GENERALES'!U38</f>
        <v>42797</v>
      </c>
      <c r="W19" s="2" t="s">
        <v>87</v>
      </c>
      <c r="X19" s="2"/>
      <c r="Y19" s="1">
        <f>+'GASTOS GENERALES'!V38</f>
        <v>24</v>
      </c>
      <c r="Z19" s="1" t="str">
        <f>+'GASTOS GENERALES'!W38</f>
        <v>Inmobiliaria 1 Casa Grande Ltda</v>
      </c>
    </row>
    <row r="20" spans="1:26" ht="102.75" customHeight="1" x14ac:dyDescent="0.25">
      <c r="A20" s="1" t="s">
        <v>293</v>
      </c>
      <c r="B20" s="1" t="s">
        <v>125</v>
      </c>
      <c r="C20" s="1">
        <f>+'GASTOS GENERALES'!C39</f>
        <v>24</v>
      </c>
      <c r="D20" s="1">
        <f>+'GASTOS GENERALES'!D39</f>
        <v>0</v>
      </c>
      <c r="E20" s="1" t="str">
        <f>+'GASTOS GENERALES'!E39</f>
        <v>Administración oficinas</v>
      </c>
      <c r="F20" s="1" t="str">
        <f>+'GASTOS GENERALES'!F39</f>
        <v>NO APLICA</v>
      </c>
      <c r="G20" s="1" t="str">
        <f>+'GASTOS GENERALES'!G39</f>
        <v>Profesional Universitario 219-02 Servicios Generales</v>
      </c>
      <c r="H20" s="1" t="str">
        <f>+'GASTOS GENERALES'!H39</f>
        <v>Subdirección Administrativa financiera</v>
      </c>
      <c r="I20" s="1" t="s">
        <v>505</v>
      </c>
      <c r="J20" s="1" t="str">
        <f>+'GASTOS GENERALES'!J39</f>
        <v>Enero</v>
      </c>
      <c r="K20" s="1"/>
      <c r="L20" s="1">
        <f>+'GASTOS GENERALES'!K39</f>
        <v>12</v>
      </c>
      <c r="M20" s="1" t="str">
        <f>+'GASTOS GENERALES'!L39</f>
        <v>NA</v>
      </c>
      <c r="N20" s="1" t="str">
        <f>+'GASTOS GENERALES'!M39</f>
        <v>Gastos
 Directos</v>
      </c>
      <c r="O20" s="80">
        <f>+'GASTOS GENERALES'!N39</f>
        <v>44105710</v>
      </c>
      <c r="P20" s="117">
        <f>+'GASTOS GENERALES'!O39</f>
        <v>0</v>
      </c>
      <c r="Q20" s="70">
        <f>+'GASTOS GENERALES'!P39</f>
        <v>44105710</v>
      </c>
      <c r="R20" s="1">
        <f>+'GASTOS GENERALES'!Q39</f>
        <v>1</v>
      </c>
      <c r="S20" s="1">
        <f>+'GASTOS GENERALES'!R39</f>
        <v>36078969</v>
      </c>
      <c r="T20" s="1">
        <f>+'GASTOS GENERALES'!S39</f>
        <v>0</v>
      </c>
      <c r="U20" s="1">
        <f>+'GASTOS GENERALES'!T39</f>
        <v>36078969</v>
      </c>
      <c r="V20" s="2"/>
      <c r="W20" s="2" t="str">
        <f>+J20</f>
        <v>Enero</v>
      </c>
      <c r="X20" s="2"/>
      <c r="Y20" s="1">
        <f>+'GASTOS GENERALES'!V39</f>
        <v>0</v>
      </c>
      <c r="Z20" s="1">
        <f>+'GASTOS GENERALES'!W39</f>
        <v>0</v>
      </c>
    </row>
    <row r="21" spans="1:26" ht="45" x14ac:dyDescent="0.25">
      <c r="A21" s="1" t="s">
        <v>293</v>
      </c>
      <c r="B21" s="1" t="s">
        <v>125</v>
      </c>
      <c r="C21" s="1">
        <f>+'GASTOS GENERALES'!C41</f>
        <v>25</v>
      </c>
      <c r="D21" s="1">
        <f>+'GASTOS GENERALES'!D41</f>
        <v>28</v>
      </c>
      <c r="E21" s="1" t="str">
        <f>+'GASTOS GENERALES'!E41</f>
        <v>Prestación del servicio de un canal de Internet dedicado con un ancho de banda de 20 Mbps.</v>
      </c>
      <c r="F21" s="1">
        <f>+'GASTOS GENERALES'!F41</f>
        <v>81112101</v>
      </c>
      <c r="G21" s="1" t="str">
        <f>+'GASTOS GENERALES'!G41</f>
        <v>Jefe Oficina  Asesora de planeación</v>
      </c>
      <c r="H21" s="1" t="str">
        <f>+'GASTOS GENERALES'!H41</f>
        <v>Oficina Asesora de Planeación</v>
      </c>
      <c r="I21" s="1" t="s">
        <v>310</v>
      </c>
      <c r="J21" s="1" t="str">
        <f>+'GASTOS GENERALES'!J41</f>
        <v>Febrero</v>
      </c>
      <c r="K21" s="1"/>
      <c r="L21" s="1">
        <f>+'GASTOS GENERALES'!K41</f>
        <v>10</v>
      </c>
      <c r="M21" s="1" t="str">
        <f>+'GASTOS GENERALES'!L41</f>
        <v>CONTRATACIÓN DIRECTA</v>
      </c>
      <c r="N21" s="1" t="str">
        <f>+'GASTOS GENERALES'!M41</f>
        <v>Contratación
 Directa</v>
      </c>
      <c r="O21" s="80">
        <f>+'GASTOS GENERALES'!N41</f>
        <v>23192040</v>
      </c>
      <c r="P21" s="117">
        <f>+'GASTOS GENERALES'!O41</f>
        <v>0</v>
      </c>
      <c r="Q21" s="70">
        <f>+'GASTOS GENERALES'!P41</f>
        <v>23192040</v>
      </c>
      <c r="R21" s="1">
        <f>+'GASTOS GENERALES'!Q41</f>
        <v>1</v>
      </c>
      <c r="S21" s="1">
        <f>+'GASTOS GENERALES'!R41</f>
        <v>23192040</v>
      </c>
      <c r="T21" s="1">
        <f>+'GASTOS GENERALES'!S41</f>
        <v>0</v>
      </c>
      <c r="U21" s="1">
        <f>+'GASTOS GENERALES'!T41</f>
        <v>23192040</v>
      </c>
      <c r="V21" s="2">
        <f>+'GASTOS GENERALES'!U41</f>
        <v>42782</v>
      </c>
      <c r="W21" s="2" t="s">
        <v>51</v>
      </c>
      <c r="X21" s="2"/>
      <c r="Y21" s="1">
        <f>+'GASTOS GENERALES'!V41</f>
        <v>5</v>
      </c>
      <c r="Z21" s="1" t="str">
        <f>+'GASTOS GENERALES'!W41</f>
        <v>ETB</v>
      </c>
    </row>
    <row r="22" spans="1:26" ht="58.5" customHeight="1" x14ac:dyDescent="0.25">
      <c r="A22" s="1" t="s">
        <v>293</v>
      </c>
      <c r="B22" s="1" t="s">
        <v>125</v>
      </c>
      <c r="C22" s="1">
        <f>+'GASTOS GENERALES'!C43</f>
        <v>272</v>
      </c>
      <c r="D22" s="1">
        <f>+'GASTOS GENERALES'!D43</f>
        <v>0</v>
      </c>
      <c r="E22" s="1" t="str">
        <f>+'GASTOS GENERALES'!E43</f>
        <v xml:space="preserve">Adición No. 1 del 2017 al contrato No. 5 de 2017, Prestación del servicio de un canal de Internet dedicado con un ancho de banda de 20 Mbps </v>
      </c>
      <c r="F22" s="1">
        <f>+'GASTOS GENERALES'!F43</f>
        <v>81112103</v>
      </c>
      <c r="G22" s="1" t="str">
        <f>+'GASTOS GENERALES'!G43</f>
        <v>Jefe Oficina  Asesora de planeación</v>
      </c>
      <c r="H22" s="1" t="str">
        <f>+'GASTOS GENERALES'!H43</f>
        <v>Oficina Asesora de Planeación</v>
      </c>
      <c r="I22" s="1" t="s">
        <v>310</v>
      </c>
      <c r="J22" s="1" t="str">
        <f>+'GASTOS GENERALES'!J43</f>
        <v>Diciembre</v>
      </c>
      <c r="K22" s="1"/>
      <c r="L22" s="1">
        <f>+'GASTOS GENERALES'!K43</f>
        <v>1</v>
      </c>
      <c r="M22" s="1" t="str">
        <f>+'GASTOS GENERALES'!L43</f>
        <v>CONTRATACIÓN DIRECTA</v>
      </c>
      <c r="N22" s="1">
        <f>+'GASTOS GENERALES'!M43</f>
        <v>0</v>
      </c>
      <c r="O22" s="80">
        <f>+'GASTOS GENERALES'!N43</f>
        <v>0</v>
      </c>
      <c r="P22" s="117">
        <f>+'GASTOS GENERALES'!O43</f>
        <v>0</v>
      </c>
      <c r="Q22" s="70">
        <f>+'GASTOS GENERALES'!P43</f>
        <v>0</v>
      </c>
      <c r="R22" s="1">
        <f>+'GASTOS GENERALES'!Q43</f>
        <v>0</v>
      </c>
      <c r="S22" s="1">
        <f>+'GASTOS GENERALES'!R43</f>
        <v>0</v>
      </c>
      <c r="T22" s="1">
        <f>+'GASTOS GENERALES'!S43</f>
        <v>0</v>
      </c>
      <c r="U22" s="1">
        <f>+'GASTOS GENERALES'!T43</f>
        <v>0</v>
      </c>
      <c r="V22" s="2"/>
      <c r="W22" s="2"/>
      <c r="X22" s="2"/>
      <c r="Y22" s="1">
        <f>+'GASTOS GENERALES'!V43</f>
        <v>0</v>
      </c>
      <c r="Z22" s="1">
        <f>+'GASTOS GENERALES'!W43</f>
        <v>0</v>
      </c>
    </row>
    <row r="23" spans="1:26" ht="60.75" customHeight="1" x14ac:dyDescent="0.25">
      <c r="A23" s="1" t="s">
        <v>293</v>
      </c>
      <c r="B23" s="1" t="s">
        <v>125</v>
      </c>
      <c r="C23" s="1">
        <f>+'GASTOS GENERALES'!C44</f>
        <v>0</v>
      </c>
      <c r="D23" s="1">
        <f>+'GASTOS GENERALES'!D44</f>
        <v>0</v>
      </c>
      <c r="E23" s="1" t="str">
        <f>+'GASTOS GENERALES'!E44</f>
        <v>SALDO</v>
      </c>
      <c r="F23" s="1">
        <f>+'GASTOS GENERALES'!F44</f>
        <v>81112104</v>
      </c>
      <c r="G23" s="1" t="str">
        <f>+'GASTOS GENERALES'!G44</f>
        <v>Jefe Oficina  Asesora de planeación</v>
      </c>
      <c r="H23" s="1" t="str">
        <f>+'GASTOS GENERALES'!H44</f>
        <v>Oficina Asesora de Planeación</v>
      </c>
      <c r="I23" s="1"/>
      <c r="J23" s="1">
        <f>+'GASTOS GENERALES'!J44</f>
        <v>0</v>
      </c>
      <c r="K23" s="1" t="s">
        <v>480</v>
      </c>
      <c r="L23" s="1">
        <f>+'GASTOS GENERALES'!K44</f>
        <v>0</v>
      </c>
      <c r="M23" s="1">
        <f>+'GASTOS GENERALES'!L44</f>
        <v>0</v>
      </c>
      <c r="N23" s="1">
        <f>+'GASTOS GENERALES'!M44</f>
        <v>0</v>
      </c>
      <c r="O23" s="80">
        <f>+'GASTOS GENERALES'!N44</f>
        <v>0</v>
      </c>
      <c r="P23" s="117">
        <f>+'GASTOS GENERALES'!O44</f>
        <v>0</v>
      </c>
      <c r="Q23" s="70">
        <f>+'GASTOS GENERALES'!P44</f>
        <v>0</v>
      </c>
      <c r="R23" s="1">
        <f>+'GASTOS GENERALES'!Q44</f>
        <v>0</v>
      </c>
      <c r="S23" s="1">
        <f>+'GASTOS GENERALES'!R44</f>
        <v>0</v>
      </c>
      <c r="T23" s="1">
        <f>+'GASTOS GENERALES'!S44</f>
        <v>0</v>
      </c>
      <c r="U23" s="1">
        <f>+'GASTOS GENERALES'!T44</f>
        <v>0</v>
      </c>
      <c r="V23" s="2"/>
      <c r="W23" s="2"/>
      <c r="X23" s="2"/>
      <c r="Y23" s="1">
        <f>+'GASTOS GENERALES'!V44</f>
        <v>0</v>
      </c>
      <c r="Z23" s="1">
        <f>+'GASTOS GENERALES'!W44</f>
        <v>0</v>
      </c>
    </row>
    <row r="24" spans="1:26" ht="60.75" customHeight="1" x14ac:dyDescent="0.25">
      <c r="A24" s="1" t="s">
        <v>293</v>
      </c>
      <c r="B24" s="1" t="s">
        <v>125</v>
      </c>
      <c r="C24" s="1">
        <f>+'GASTOS GENERALES'!C48</f>
        <v>188</v>
      </c>
      <c r="D24" s="1">
        <f>+'GASTOS GENERALES'!D48</f>
        <v>29</v>
      </c>
      <c r="E24" s="1" t="str">
        <f>+'GASTOS GENERALES'!E48</f>
        <v>Compra de Radios de Comunicación para la Brigada de Emergencias del IDEP</v>
      </c>
      <c r="F24" s="1">
        <f>+'GASTOS GENERALES'!F48</f>
        <v>81112101</v>
      </c>
      <c r="G24" s="1" t="str">
        <f>+'GASTOS GENERALES'!G48</f>
        <v>Profesional especializado Presupuesto</v>
      </c>
      <c r="H24" s="1" t="str">
        <f>+'GASTOS GENERALES'!H48</f>
        <v>Subdirección Adminsitrativa Financiera</v>
      </c>
      <c r="I24" s="1" t="s">
        <v>505</v>
      </c>
      <c r="J24" s="1" t="s">
        <v>63</v>
      </c>
      <c r="K24" s="1"/>
      <c r="L24" s="1">
        <f>+'GASTOS GENERALES'!K48</f>
        <v>3</v>
      </c>
      <c r="M24" s="1" t="str">
        <f>+'GASTOS GENERALES'!L48</f>
        <v>TIENDA VIRTUAL - COLOMBIA COMPRA EFICIENTE</v>
      </c>
      <c r="N24" s="1" t="str">
        <f>+'GASTOS GENERALES'!M48</f>
        <v>minima cuantia</v>
      </c>
      <c r="O24" s="80">
        <f>+'GASTOS GENERALES'!N48</f>
        <v>3272500</v>
      </c>
      <c r="P24" s="117">
        <f>+'GASTOS GENERALES'!O48</f>
        <v>0</v>
      </c>
      <c r="Q24" s="70">
        <f>+'GASTOS GENERALES'!P48</f>
        <v>3272500</v>
      </c>
      <c r="R24" s="1">
        <f>+'GASTOS GENERALES'!Q48</f>
        <v>1</v>
      </c>
      <c r="S24" s="1">
        <f>+'GASTOS GENERALES'!R48</f>
        <v>3272500</v>
      </c>
      <c r="T24" s="1">
        <f>+'GASTOS GENERALES'!S48</f>
        <v>0</v>
      </c>
      <c r="U24" s="1">
        <f>+'GASTOS GENERALES'!T48</f>
        <v>3272500</v>
      </c>
      <c r="V24" s="2">
        <f>+'GASTOS GENERALES'!U48</f>
        <v>42853</v>
      </c>
      <c r="W24" s="2" t="s">
        <v>63</v>
      </c>
      <c r="X24" s="2"/>
      <c r="Y24" s="1" t="str">
        <f>+'GASTOS GENERALES'!V48</f>
        <v>orden de aceptación</v>
      </c>
      <c r="Z24" s="1" t="str">
        <f>+'GASTOS GENERALES'!W48</f>
        <v>ENLASE INHALAMBRICO GIGITAL</v>
      </c>
    </row>
    <row r="25" spans="1:26" ht="42.75" customHeight="1" x14ac:dyDescent="0.25">
      <c r="A25" s="1" t="s">
        <v>293</v>
      </c>
      <c r="B25" s="1" t="s">
        <v>125</v>
      </c>
      <c r="C25" s="1" t="e">
        <f>+'GASTOS GENERALES'!#REF!</f>
        <v>#REF!</v>
      </c>
      <c r="D25" s="1" t="e">
        <f>+'GASTOS GENERALES'!#REF!</f>
        <v>#REF!</v>
      </c>
      <c r="E25" s="1" t="str">
        <f>+'GASTOS GENERALES'!E42</f>
        <v>SALDO</v>
      </c>
      <c r="F25" s="1">
        <f>+'GASTOS GENERALES'!F42</f>
        <v>81112102</v>
      </c>
      <c r="G25" s="1" t="str">
        <f>+'GASTOS GENERALES'!G42</f>
        <v>Jefe Oficina  Asesora de planeación</v>
      </c>
      <c r="H25" s="1" t="str">
        <f>+'GASTOS GENERALES'!H42</f>
        <v>Oficina Asesora de Planeación</v>
      </c>
      <c r="I25" s="1"/>
      <c r="J25" s="1">
        <f>+'GASTOS GENERALES'!J42</f>
        <v>0</v>
      </c>
      <c r="K25" s="1" t="s">
        <v>480</v>
      </c>
      <c r="L25" s="1">
        <f>+'GASTOS GENERALES'!K42</f>
        <v>0</v>
      </c>
      <c r="M25" s="1">
        <f>+'GASTOS GENERALES'!L42</f>
        <v>0</v>
      </c>
      <c r="N25" s="1">
        <f>+'GASTOS GENERALES'!M42</f>
        <v>0</v>
      </c>
      <c r="O25" s="80">
        <f>+'GASTOS GENERALES'!N42</f>
        <v>0</v>
      </c>
      <c r="P25" s="117">
        <f>+'GASTOS GENERALES'!O42</f>
        <v>0</v>
      </c>
      <c r="Q25" s="70">
        <f>+'GASTOS GENERALES'!P42</f>
        <v>0</v>
      </c>
      <c r="R25" s="1" t="e">
        <f>+'GASTOS GENERALES'!#REF!</f>
        <v>#REF!</v>
      </c>
      <c r="S25" s="1" t="e">
        <f>+'GASTOS GENERALES'!#REF!</f>
        <v>#REF!</v>
      </c>
      <c r="T25" s="1" t="e">
        <f>+'GASTOS GENERALES'!#REF!</f>
        <v>#REF!</v>
      </c>
      <c r="U25" s="1" t="e">
        <f>+'GASTOS GENERALES'!#REF!</f>
        <v>#REF!</v>
      </c>
      <c r="V25" s="2"/>
      <c r="W25" s="2"/>
      <c r="X25" s="2"/>
      <c r="Y25" s="1" t="e">
        <f>+'GASTOS GENERALES'!#REF!</f>
        <v>#REF!</v>
      </c>
      <c r="Z25" s="1" t="e">
        <f>+'GASTOS GENERALES'!#REF!</f>
        <v>#REF!</v>
      </c>
    </row>
    <row r="26" spans="1:26" ht="42.75" customHeight="1" x14ac:dyDescent="0.25">
      <c r="A26" s="1" t="s">
        <v>293</v>
      </c>
      <c r="B26" s="1" t="s">
        <v>125</v>
      </c>
      <c r="C26" s="1">
        <f>+'GASTOS GENERALES'!C49</f>
        <v>284</v>
      </c>
      <c r="D26" s="1">
        <f>+'GASTOS GENERALES'!D49</f>
        <v>30</v>
      </c>
      <c r="E26" s="1" t="str">
        <f>+'GASTOS GENERALES'!E49</f>
        <v>Prestación del servicio de mensajería especializada para el Instituto para la Investigación Educativa y Desarrollo Pedagógico IDEP</v>
      </c>
      <c r="F26" s="1" t="str">
        <f>+'GASTOS GENERALES'!F49</f>
        <v>78102203.</v>
      </c>
      <c r="G26" s="1" t="str">
        <f>+'GASTOS GENERALES'!G49</f>
        <v>Profesionalo Especializado 222-03</v>
      </c>
      <c r="H26" s="1" t="str">
        <f>+'GASTOS GENERALES'!H49</f>
        <v>Subdirección Administrativa financiera</v>
      </c>
      <c r="I26" s="1" t="s">
        <v>505</v>
      </c>
      <c r="J26" s="1" t="str">
        <f>+'GASTOS GENERALES'!J49</f>
        <v>Octubre</v>
      </c>
      <c r="K26" s="1"/>
      <c r="L26" s="1">
        <f>+'GASTOS GENERALES'!K49</f>
        <v>12</v>
      </c>
      <c r="M26" s="1" t="str">
        <f>+'GASTOS GENERALES'!L49</f>
        <v>MINIMA CUANTIA</v>
      </c>
      <c r="N26" s="1" t="str">
        <f>+'GASTOS GENERALES'!M49</f>
        <v>Selección
 Abreviada</v>
      </c>
      <c r="O26" s="80">
        <f>+'GASTOS GENERALES'!N49</f>
        <v>14625000</v>
      </c>
      <c r="P26" s="117">
        <f>+'GASTOS GENERALES'!O49</f>
        <v>0</v>
      </c>
      <c r="Q26" s="70">
        <f>+'GASTOS GENERALES'!P49</f>
        <v>14625000</v>
      </c>
      <c r="R26" s="1">
        <f>+'GASTOS GENERALES'!Q49</f>
        <v>0</v>
      </c>
      <c r="S26" s="1">
        <f>+'GASTOS GENERALES'!R49</f>
        <v>14625000</v>
      </c>
      <c r="T26" s="1">
        <f>+'GASTOS GENERALES'!S49</f>
        <v>0</v>
      </c>
      <c r="U26" s="1">
        <f>+'GASTOS GENERALES'!T49</f>
        <v>14625000</v>
      </c>
      <c r="V26" s="2"/>
      <c r="W26" s="2"/>
      <c r="X26" s="2"/>
      <c r="Y26" s="1" t="str">
        <f>+'GASTOS GENERALES'!V49</f>
        <v>orden de aceptación 111</v>
      </c>
      <c r="Z26" s="1" t="str">
        <f>+'GASTOS GENERALES'!W49</f>
        <v>GEMPSA GESTIÓN EMPRESARIAL</v>
      </c>
    </row>
    <row r="27" spans="1:26" ht="42.75" customHeight="1" x14ac:dyDescent="0.25">
      <c r="A27" s="1" t="s">
        <v>293</v>
      </c>
      <c r="B27" s="1" t="s">
        <v>125</v>
      </c>
      <c r="C27" s="1">
        <f>+'GASTOS GENERALES'!C51</f>
        <v>27</v>
      </c>
      <c r="D27" s="1">
        <f>+'GASTOS GENERALES'!D51</f>
        <v>0</v>
      </c>
      <c r="E27" s="1" t="str">
        <f>+'GASTOS GENERALES'!E51</f>
        <v>CELULARES ( 3)</v>
      </c>
      <c r="F27" s="1" t="str">
        <f>+'GASTOS GENERALES'!F51</f>
        <v>NO APLICA</v>
      </c>
      <c r="G27" s="1" t="str">
        <f>+'GASTOS GENERALES'!G51</f>
        <v>Profesional Universitario 219-02 Servicios Generales</v>
      </c>
      <c r="H27" s="1" t="str">
        <f>+'GASTOS GENERALES'!H51</f>
        <v>Subdirección Administrativa financiera</v>
      </c>
      <c r="I27" s="1" t="s">
        <v>505</v>
      </c>
      <c r="J27" s="1" t="str">
        <f>+'GASTOS GENERALES'!J51</f>
        <v>Enero</v>
      </c>
      <c r="K27" s="1"/>
      <c r="L27" s="1">
        <f>+'GASTOS GENERALES'!K51</f>
        <v>12</v>
      </c>
      <c r="M27" s="1" t="str">
        <f>+'GASTOS GENERALES'!L51</f>
        <v>NA</v>
      </c>
      <c r="N27" s="1" t="str">
        <f>+'GASTOS GENERALES'!M51</f>
        <v>Gastos
 Directos</v>
      </c>
      <c r="O27" s="80">
        <f>+'GASTOS GENERALES'!N51</f>
        <v>4800000</v>
      </c>
      <c r="P27" s="117">
        <f>+'GASTOS GENERALES'!O51</f>
        <v>0</v>
      </c>
      <c r="Q27" s="70">
        <f>+'GASTOS GENERALES'!P51</f>
        <v>4800000</v>
      </c>
      <c r="R27" s="1">
        <f>+'GASTOS GENERALES'!Q51</f>
        <v>0</v>
      </c>
      <c r="S27" s="1">
        <f>+'GASTOS GENERALES'!R51</f>
        <v>1126226</v>
      </c>
      <c r="T27" s="1">
        <f>+'GASTOS GENERALES'!S51</f>
        <v>0</v>
      </c>
      <c r="U27" s="1">
        <f>+'GASTOS GENERALES'!T51</f>
        <v>1126226</v>
      </c>
      <c r="V27" s="2"/>
      <c r="W27" s="2" t="str">
        <f t="shared" ref="W27:W28" si="0">+J27</f>
        <v>Enero</v>
      </c>
      <c r="X27" s="2"/>
      <c r="Y27" s="1">
        <f>+'GASTOS GENERALES'!V51</f>
        <v>0</v>
      </c>
      <c r="Z27" s="1">
        <f>+'GASTOS GENERALES'!W51</f>
        <v>0</v>
      </c>
    </row>
    <row r="28" spans="1:26" ht="33.75" customHeight="1" x14ac:dyDescent="0.25">
      <c r="A28" s="1" t="s">
        <v>293</v>
      </c>
      <c r="B28" s="1" t="s">
        <v>125</v>
      </c>
      <c r="C28" s="1">
        <f>+'GASTOS GENERALES'!C52</f>
        <v>19</v>
      </c>
      <c r="D28" s="1">
        <f>+'GASTOS GENERALES'!D52</f>
        <v>0</v>
      </c>
      <c r="E28" s="1" t="str">
        <f>+'GASTOS GENERALES'!E52</f>
        <v>CAJA MENOR</v>
      </c>
      <c r="F28" s="1" t="str">
        <f>+'GASTOS GENERALES'!F52</f>
        <v>NO APLICA</v>
      </c>
      <c r="G28" s="1" t="str">
        <f>+'GASTOS GENERALES'!G52</f>
        <v>Técnico de Contabilidad</v>
      </c>
      <c r="H28" s="1" t="str">
        <f>+'GASTOS GENERALES'!H52</f>
        <v>Subdirección Administrativa financiera</v>
      </c>
      <c r="I28" s="1" t="s">
        <v>505</v>
      </c>
      <c r="J28" s="1" t="str">
        <f>+'GASTOS GENERALES'!J52</f>
        <v>Febrero</v>
      </c>
      <c r="K28" s="1"/>
      <c r="L28" s="1">
        <f>+'GASTOS GENERALES'!K52</f>
        <v>11</v>
      </c>
      <c r="M28" s="1" t="str">
        <f>+'GASTOS GENERALES'!L52</f>
        <v>NA</v>
      </c>
      <c r="N28" s="1" t="str">
        <f>+'GASTOS GENERALES'!M52</f>
        <v>Gastos
 Directos</v>
      </c>
      <c r="O28" s="80">
        <f>+'GASTOS GENERALES'!N52</f>
        <v>4400000</v>
      </c>
      <c r="P28" s="117">
        <f>+'GASTOS GENERALES'!O52</f>
        <v>0</v>
      </c>
      <c r="Q28" s="70">
        <f>+'GASTOS GENERALES'!P52</f>
        <v>4400000</v>
      </c>
      <c r="R28" s="1">
        <f>+'GASTOS GENERALES'!Q52</f>
        <v>0</v>
      </c>
      <c r="S28" s="1">
        <f>+'GASTOS GENERALES'!R52</f>
        <v>1794550</v>
      </c>
      <c r="T28" s="1">
        <f>+'GASTOS GENERALES'!S52</f>
        <v>0</v>
      </c>
      <c r="U28" s="1">
        <f>+'GASTOS GENERALES'!T52</f>
        <v>1794550</v>
      </c>
      <c r="V28" s="2"/>
      <c r="W28" s="2" t="str">
        <f t="shared" si="0"/>
        <v>Febrero</v>
      </c>
      <c r="X28" s="2"/>
      <c r="Y28" s="1">
        <f>+'GASTOS GENERALES'!V52</f>
        <v>0</v>
      </c>
      <c r="Z28" s="1">
        <f>+'GASTOS GENERALES'!W52</f>
        <v>0</v>
      </c>
    </row>
    <row r="29" spans="1:26" ht="75" x14ac:dyDescent="0.25">
      <c r="A29" s="1" t="s">
        <v>293</v>
      </c>
      <c r="B29" s="1" t="s">
        <v>125</v>
      </c>
      <c r="C29" s="1">
        <f>+'GASTOS GENERALES'!C54</f>
        <v>28</v>
      </c>
      <c r="D29" s="1">
        <f>+'GASTOS GENERALES'!D54</f>
        <v>31</v>
      </c>
      <c r="E29" s="1" t="str">
        <f>+'GASTOS GENERALES'!E54</f>
        <v>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v>
      </c>
      <c r="F29" s="1">
        <f>+'GASTOS GENERALES'!F54</f>
        <v>80161801</v>
      </c>
      <c r="G29" s="1" t="str">
        <f>+'GASTOS GENERALES'!G54</f>
        <v>Profesional Universitario 219-02 Servicios Generales</v>
      </c>
      <c r="H29" s="1" t="str">
        <f>+'GASTOS GENERALES'!H54</f>
        <v>Subdirección Administrativa financiera</v>
      </c>
      <c r="I29" s="1" t="s">
        <v>505</v>
      </c>
      <c r="J29" s="1" t="str">
        <f>+'GASTOS GENERALES'!J54</f>
        <v>Julio</v>
      </c>
      <c r="K29" s="1"/>
      <c r="L29" s="1">
        <f>+'GASTOS GENERALES'!K54</f>
        <v>12</v>
      </c>
      <c r="M29" s="1" t="str">
        <f>+'GASTOS GENERALES'!L54</f>
        <v>MINIMA CUANTÍA</v>
      </c>
      <c r="N29" s="1" t="str">
        <f>+'GASTOS GENERALES'!M54</f>
        <v>Minima Cuantia</v>
      </c>
      <c r="O29" s="80">
        <f>+'GASTOS GENERALES'!N54</f>
        <v>7020000</v>
      </c>
      <c r="P29" s="117">
        <f>+'GASTOS GENERALES'!O54</f>
        <v>0</v>
      </c>
      <c r="Q29" s="70">
        <f>+'GASTOS GENERALES'!P54</f>
        <v>7020000</v>
      </c>
      <c r="R29" s="1">
        <f>+'GASTOS GENERALES'!Q54</f>
        <v>1</v>
      </c>
      <c r="S29" s="1">
        <f>+'GASTOS GENERALES'!R54</f>
        <v>7020000</v>
      </c>
      <c r="T29" s="1">
        <f>+'GASTOS GENERALES'!S54</f>
        <v>0</v>
      </c>
      <c r="U29" s="1">
        <f>+'GASTOS GENERALES'!T54</f>
        <v>7020000</v>
      </c>
      <c r="V29" s="2">
        <v>42886</v>
      </c>
      <c r="W29" s="2" t="s">
        <v>56</v>
      </c>
      <c r="X29" s="2"/>
      <c r="Y29" s="1">
        <f>+'GASTOS GENERALES'!V54</f>
        <v>0</v>
      </c>
      <c r="Z29" s="1" t="str">
        <f>+'GASTOS GENERALES'!W54</f>
        <v>SOLUTION COPY LTDA.</v>
      </c>
    </row>
    <row r="30" spans="1:26" ht="30" x14ac:dyDescent="0.25">
      <c r="A30" s="1"/>
      <c r="B30" s="1"/>
      <c r="C30" s="1">
        <f>+'GASTOS GENERALES'!C55</f>
        <v>0</v>
      </c>
      <c r="D30" s="1">
        <f>+'GASTOS GENERALES'!D55</f>
        <v>0</v>
      </c>
      <c r="E30" s="1" t="str">
        <f>+'GASTOS GENERALES'!E55</f>
        <v>SALDO</v>
      </c>
      <c r="F30" s="1">
        <f>+'GASTOS GENERALES'!F55</f>
        <v>0</v>
      </c>
      <c r="G30" s="1">
        <f>+'GASTOS GENERALES'!G55</f>
        <v>0</v>
      </c>
      <c r="H30" s="1">
        <f>+'GASTOS GENERALES'!H55</f>
        <v>0</v>
      </c>
      <c r="I30" s="1" t="s">
        <v>505</v>
      </c>
      <c r="J30" s="1">
        <f>+'GASTOS GENERALES'!J55</f>
        <v>0</v>
      </c>
      <c r="K30" s="1"/>
      <c r="L30" s="1">
        <f>+'GASTOS GENERALES'!K55</f>
        <v>0</v>
      </c>
      <c r="M30" s="1">
        <f>+'GASTOS GENERALES'!L55</f>
        <v>0</v>
      </c>
      <c r="N30" s="1" t="str">
        <f>+'GASTOS GENERALES'!M55</f>
        <v>Contratación
 Directa</v>
      </c>
      <c r="O30" s="80">
        <f>+'GASTOS GENERALES'!N55</f>
        <v>0</v>
      </c>
      <c r="P30" s="117">
        <f>+'GASTOS GENERALES'!O55</f>
        <v>0</v>
      </c>
      <c r="Q30" s="70">
        <f>+'GASTOS GENERALES'!P55</f>
        <v>0</v>
      </c>
      <c r="R30" s="1">
        <f>+'GASTOS GENERALES'!Q55</f>
        <v>0</v>
      </c>
      <c r="S30" s="1">
        <f>+'GASTOS GENERALES'!R55</f>
        <v>0</v>
      </c>
      <c r="T30" s="1">
        <f>+'GASTOS GENERALES'!S55</f>
        <v>0</v>
      </c>
      <c r="U30" s="1">
        <f>+'GASTOS GENERALES'!T55</f>
        <v>0</v>
      </c>
      <c r="V30" s="2"/>
      <c r="W30" s="2"/>
      <c r="X30" s="2"/>
      <c r="Y30" s="1">
        <f>+'GASTOS GENERALES'!V55</f>
        <v>0</v>
      </c>
      <c r="Z30" s="1">
        <f>+'GASTOS GENERALES'!W55</f>
        <v>0</v>
      </c>
    </row>
    <row r="31" spans="1:26" ht="90" x14ac:dyDescent="0.25">
      <c r="A31" s="1" t="s">
        <v>293</v>
      </c>
      <c r="B31" s="1" t="s">
        <v>125</v>
      </c>
      <c r="C31" s="1">
        <f>+'GASTOS GENERALES'!C56</f>
        <v>256</v>
      </c>
      <c r="D31" s="1">
        <f>+'GASTOS GENERALES'!D56</f>
        <v>0</v>
      </c>
      <c r="E31" s="1" t="str">
        <f>+'GASTOS GENERALES'!E56</f>
        <v>Adición No. 1  del 2017 a la  Carta de Aceptación de la Oferta No. 30 de 2016 - 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v>
      </c>
      <c r="F31" s="1">
        <f>+'GASTOS GENERALES'!F56</f>
        <v>80161801</v>
      </c>
      <c r="G31" s="1" t="str">
        <f>+'GASTOS GENERALES'!G56</f>
        <v>Profesional Universitario 219-02 Servicios Generales</v>
      </c>
      <c r="H31" s="1" t="str">
        <f>+'GASTOS GENERALES'!H56</f>
        <v>Subdirección Administrativa financiera</v>
      </c>
      <c r="I31" s="1" t="s">
        <v>505</v>
      </c>
      <c r="J31" s="1" t="s">
        <v>63</v>
      </c>
      <c r="K31" s="1"/>
      <c r="L31" s="1">
        <f>+'GASTOS GENERALES'!K56</f>
        <v>2</v>
      </c>
      <c r="M31" s="1">
        <f>+'GASTOS GENERALES'!L56</f>
        <v>0</v>
      </c>
      <c r="N31" s="1">
        <f>+'GASTOS GENERALES'!M56</f>
        <v>0</v>
      </c>
      <c r="O31" s="80">
        <f>+'GASTOS GENERALES'!N56</f>
        <v>200000</v>
      </c>
      <c r="P31" s="117">
        <f>+'GASTOS GENERALES'!O56</f>
        <v>0</v>
      </c>
      <c r="Q31" s="70">
        <f>+'GASTOS GENERALES'!P56</f>
        <v>200000</v>
      </c>
      <c r="R31" s="1">
        <f>+'GASTOS GENERALES'!Q56</f>
        <v>1</v>
      </c>
      <c r="S31" s="1">
        <f>+'GASTOS GENERALES'!R56</f>
        <v>200000</v>
      </c>
      <c r="T31" s="1">
        <f>+'GASTOS GENERALES'!S56</f>
        <v>0</v>
      </c>
      <c r="U31" s="1">
        <f>+'GASTOS GENERALES'!T56</f>
        <v>200000</v>
      </c>
      <c r="V31" s="2">
        <f>+'GASTOS GENERALES'!U56</f>
        <v>42859</v>
      </c>
      <c r="W31" s="2" t="s">
        <v>56</v>
      </c>
      <c r="X31" s="2"/>
      <c r="Y31" s="1">
        <f>+'GASTOS GENERALES'!V56</f>
        <v>0</v>
      </c>
      <c r="Z31" s="1" t="str">
        <f>+'GASTOS GENERALES'!W56</f>
        <v>SOLUTION COPY LTDA</v>
      </c>
    </row>
    <row r="32" spans="1:26" ht="72" customHeight="1" x14ac:dyDescent="0.25">
      <c r="A32" s="1" t="s">
        <v>293</v>
      </c>
      <c r="B32" s="1" t="s">
        <v>125</v>
      </c>
      <c r="C32" s="1">
        <f>+'GASTOS GENERALES'!C57</f>
        <v>19</v>
      </c>
      <c r="D32" s="1">
        <f>+'GASTOS GENERALES'!D57</f>
        <v>0</v>
      </c>
      <c r="E32" s="1" t="str">
        <f>+'GASTOS GENERALES'!E57</f>
        <v xml:space="preserve">CAJA MENOR </v>
      </c>
      <c r="F32" s="1" t="str">
        <f>+'GASTOS GENERALES'!F57</f>
        <v>NO APLICA</v>
      </c>
      <c r="G32" s="1" t="str">
        <f>+'GASTOS GENERALES'!G57</f>
        <v>Técnico de Contabilidad</v>
      </c>
      <c r="H32" s="1" t="str">
        <f>+'GASTOS GENERALES'!H57</f>
        <v>Subdirección Administrativa financiera</v>
      </c>
      <c r="I32" s="1" t="s">
        <v>505</v>
      </c>
      <c r="J32" s="1" t="str">
        <f>+'GASTOS GENERALES'!J57</f>
        <v>Febrero</v>
      </c>
      <c r="K32" s="1"/>
      <c r="L32" s="1">
        <f>+'GASTOS GENERALES'!K57</f>
        <v>11</v>
      </c>
      <c r="M32" s="1" t="str">
        <f>+'GASTOS GENERALES'!L57</f>
        <v>NA</v>
      </c>
      <c r="N32" s="1" t="str">
        <f>+'GASTOS GENERALES'!M57</f>
        <v>Gastos
 Directos</v>
      </c>
      <c r="O32" s="80">
        <f>+'GASTOS GENERALES'!N57</f>
        <v>2750000</v>
      </c>
      <c r="P32" s="117">
        <f>+'GASTOS GENERALES'!O57</f>
        <v>0</v>
      </c>
      <c r="Q32" s="70">
        <f>+'GASTOS GENERALES'!P57</f>
        <v>2750000</v>
      </c>
      <c r="R32" s="1">
        <f>+'GASTOS GENERALES'!Q57</f>
        <v>0</v>
      </c>
      <c r="S32" s="1">
        <f>+'GASTOS GENERALES'!R57</f>
        <v>334150</v>
      </c>
      <c r="T32" s="1">
        <f>+'GASTOS GENERALES'!S57</f>
        <v>0</v>
      </c>
      <c r="U32" s="1">
        <f>+'GASTOS GENERALES'!T57</f>
        <v>334150</v>
      </c>
      <c r="V32" s="2"/>
      <c r="W32" s="2" t="str">
        <f>+J32</f>
        <v>Febrero</v>
      </c>
      <c r="X32" s="2"/>
      <c r="Y32" s="1">
        <f>+'GASTOS GENERALES'!V57</f>
        <v>0</v>
      </c>
      <c r="Z32" s="1">
        <f>+'GASTOS GENERALES'!W57</f>
        <v>0</v>
      </c>
    </row>
    <row r="33" spans="1:26" ht="30" x14ac:dyDescent="0.25">
      <c r="A33" s="1" t="s">
        <v>293</v>
      </c>
      <c r="B33" s="1" t="s">
        <v>125</v>
      </c>
      <c r="C33" s="1">
        <f>+'GASTOS GENERALES'!C58</f>
        <v>29</v>
      </c>
      <c r="D33" s="1">
        <f>+'GASTOS GENERALES'!D58</f>
        <v>0</v>
      </c>
      <c r="E33" s="1" t="str">
        <f>+'GASTOS GENERALES'!E58</f>
        <v>ISBN 2017</v>
      </c>
      <c r="F33" s="1" t="str">
        <f>+'GASTOS GENERALES'!F58</f>
        <v>NO APLICA</v>
      </c>
      <c r="G33" s="1" t="str">
        <f>+'GASTOS GENERALES'!G58</f>
        <v>Profesional 222-05</v>
      </c>
      <c r="H33" s="1" t="str">
        <f>+'GASTOS GENERALES'!H58</f>
        <v>Diana María Prada</v>
      </c>
      <c r="I33" s="1" t="s">
        <v>503</v>
      </c>
      <c r="J33" s="1" t="s">
        <v>63</v>
      </c>
      <c r="K33" s="1"/>
      <c r="L33" s="1">
        <f>+'GASTOS GENERALES'!K58</f>
        <v>10</v>
      </c>
      <c r="M33" s="1" t="str">
        <f>+'GASTOS GENERALES'!L58</f>
        <v>NA</v>
      </c>
      <c r="N33" s="1" t="str">
        <f>+'GASTOS GENERALES'!M58</f>
        <v>Gastos
 Directos</v>
      </c>
      <c r="O33" s="80">
        <f>+'GASTOS GENERALES'!N58</f>
        <v>1050000</v>
      </c>
      <c r="P33" s="117">
        <f>+'GASTOS GENERALES'!O58</f>
        <v>0</v>
      </c>
      <c r="Q33" s="70">
        <f>+'GASTOS GENERALES'!P58</f>
        <v>1050000</v>
      </c>
      <c r="R33" s="1">
        <f>+'GASTOS GENERALES'!Q58</f>
        <v>0</v>
      </c>
      <c r="S33" s="1">
        <f>+'GASTOS GENERALES'!R58</f>
        <v>525000</v>
      </c>
      <c r="T33" s="1">
        <f>+'GASTOS GENERALES'!S58</f>
        <v>0</v>
      </c>
      <c r="U33" s="1">
        <f>+'GASTOS GENERALES'!T58</f>
        <v>525000</v>
      </c>
      <c r="V33" s="2"/>
      <c r="W33" s="2"/>
      <c r="X33" s="2"/>
      <c r="Y33" s="1">
        <f>+'GASTOS GENERALES'!V58</f>
        <v>0</v>
      </c>
      <c r="Z33" s="1" t="str">
        <f>+'GASTOS GENERALES'!W58</f>
        <v>Camara de comercio</v>
      </c>
    </row>
    <row r="34" spans="1:26" ht="75" x14ac:dyDescent="0.25">
      <c r="A34" s="1" t="s">
        <v>293</v>
      </c>
      <c r="B34" s="1" t="s">
        <v>125</v>
      </c>
      <c r="C34" s="1">
        <f>+'GASTOS GENERALES'!C60</f>
        <v>30</v>
      </c>
      <c r="D34" s="1">
        <f>+'GASTOS GENERALES'!D60</f>
        <v>32</v>
      </c>
      <c r="E34" s="1" t="str">
        <f>+'GASTOS GENERALES'!E60</f>
        <v>Prestación de los servicios de aseo y cafetería, con suministro de insumos, en las instalaciones del Instituto para la Investigación Educativa y el Desarrollo Pedagógico - IDEP.</v>
      </c>
      <c r="F34" s="1" t="str">
        <f>+'GASTOS GENERALES'!F60</f>
        <v>76111501
 95121503</v>
      </c>
      <c r="G34" s="1" t="str">
        <f>+'GASTOS GENERALES'!G60</f>
        <v>Profesional Universitario 219-02 Servicios Generales</v>
      </c>
      <c r="H34" s="1" t="str">
        <f>+'GASTOS GENERALES'!H60</f>
        <v>Subdirección Administrativa financiera</v>
      </c>
      <c r="I34" s="1" t="s">
        <v>505</v>
      </c>
      <c r="J34" s="1" t="str">
        <f>+'GASTOS GENERALES'!J60</f>
        <v>Mayo</v>
      </c>
      <c r="K34" s="1"/>
      <c r="L34" s="1">
        <f>+'GASTOS GENERALES'!K60</f>
        <v>12</v>
      </c>
      <c r="M34" s="1" t="str">
        <f>+'GASTOS GENERALES'!L60</f>
        <v>TIENDA VIRTUAL - COLOMBIA COMPRA EFICIENTE</v>
      </c>
      <c r="N34" s="1" t="str">
        <f>+'GASTOS GENERALES'!M60</f>
        <v>Selección
 Abreviada</v>
      </c>
      <c r="O34" s="80">
        <f>+'GASTOS GENERALES'!N60</f>
        <v>38148843</v>
      </c>
      <c r="P34" s="117">
        <f>+'GASTOS GENERALES'!O60</f>
        <v>0</v>
      </c>
      <c r="Q34" s="70">
        <f>+'GASTOS GENERALES'!P60</f>
        <v>38148843</v>
      </c>
      <c r="R34" s="1">
        <f>+'GASTOS GENERALES'!Q60</f>
        <v>1</v>
      </c>
      <c r="S34" s="1">
        <f>+'GASTOS GENERALES'!R60</f>
        <v>38148843</v>
      </c>
      <c r="T34" s="1">
        <f>+'GASTOS GENERALES'!S60</f>
        <v>0</v>
      </c>
      <c r="U34" s="1">
        <f>+'GASTOS GENERALES'!T60</f>
        <v>38148843</v>
      </c>
      <c r="V34" s="2">
        <f>+'GASTOS GENERALES'!U60</f>
        <v>42859</v>
      </c>
      <c r="W34" s="2" t="s">
        <v>56</v>
      </c>
      <c r="X34" s="2"/>
      <c r="Y34" s="1">
        <f>+'GASTOS GENERALES'!V60</f>
        <v>71</v>
      </c>
      <c r="Z34" s="1" t="str">
        <f>+'GASTOS GENERALES'!W60</f>
        <v>UNION TEMPORAL BIOLIMPIEZA</v>
      </c>
    </row>
    <row r="35" spans="1:26" x14ac:dyDescent="0.25">
      <c r="A35" s="1" t="s">
        <v>293</v>
      </c>
      <c r="B35" s="1" t="s">
        <v>125</v>
      </c>
      <c r="C35" s="1" t="e">
        <f>+'GASTOS GENERALES'!#REF!</f>
        <v>#REF!</v>
      </c>
      <c r="D35" s="1" t="e">
        <f>+'GASTOS GENERALES'!#REF!</f>
        <v>#REF!</v>
      </c>
      <c r="E35" s="1" t="e">
        <f>+'GASTOS GENERALES'!#REF!</f>
        <v>#REF!</v>
      </c>
      <c r="F35" s="1" t="e">
        <f>+'GASTOS GENERALES'!#REF!</f>
        <v>#REF!</v>
      </c>
      <c r="G35" s="1" t="e">
        <f>+'GASTOS GENERALES'!#REF!</f>
        <v>#REF!</v>
      </c>
      <c r="H35" s="1" t="e">
        <f>+'GASTOS GENERALES'!#REF!</f>
        <v>#REF!</v>
      </c>
      <c r="I35" s="1"/>
      <c r="J35" s="1" t="e">
        <f>+'GASTOS GENERALES'!#REF!</f>
        <v>#REF!</v>
      </c>
      <c r="K35" s="1" t="s">
        <v>480</v>
      </c>
      <c r="L35" s="1" t="e">
        <f>+'GASTOS GENERALES'!#REF!</f>
        <v>#REF!</v>
      </c>
      <c r="M35" s="1" t="e">
        <f>+'GASTOS GENERALES'!#REF!</f>
        <v>#REF!</v>
      </c>
      <c r="N35" s="1" t="e">
        <f>+'GASTOS GENERALES'!#REF!</f>
        <v>#REF!</v>
      </c>
      <c r="O35" s="80" t="e">
        <f>+'GASTOS GENERALES'!#REF!</f>
        <v>#REF!</v>
      </c>
      <c r="P35" s="117" t="e">
        <f>+'GASTOS GENERALES'!#REF!</f>
        <v>#REF!</v>
      </c>
      <c r="Q35" s="70" t="e">
        <f>+'GASTOS GENERALES'!#REF!</f>
        <v>#REF!</v>
      </c>
      <c r="R35" s="1" t="e">
        <f>+'GASTOS GENERALES'!#REF!</f>
        <v>#REF!</v>
      </c>
      <c r="S35" s="1" t="e">
        <f>+'GASTOS GENERALES'!#REF!</f>
        <v>#REF!</v>
      </c>
      <c r="T35" s="1" t="e">
        <f>+'GASTOS GENERALES'!#REF!</f>
        <v>#REF!</v>
      </c>
      <c r="U35" s="1" t="e">
        <f>+'GASTOS GENERALES'!#REF!</f>
        <v>#REF!</v>
      </c>
      <c r="V35" s="2"/>
      <c r="W35" s="2"/>
      <c r="X35" s="2"/>
      <c r="Y35" s="1" t="e">
        <f>+'GASTOS GENERALES'!#REF!</f>
        <v>#REF!</v>
      </c>
      <c r="Z35" s="1" t="e">
        <f>+'GASTOS GENERALES'!#REF!</f>
        <v>#REF!</v>
      </c>
    </row>
    <row r="36" spans="1:26" ht="75" x14ac:dyDescent="0.25">
      <c r="A36" s="1" t="s">
        <v>293</v>
      </c>
      <c r="B36" s="1" t="s">
        <v>125</v>
      </c>
      <c r="C36" s="1">
        <f>+'GASTOS GENERALES'!C62</f>
        <v>31</v>
      </c>
      <c r="D36" s="1">
        <f>+'GASTOS GENERALES'!D62</f>
        <v>33</v>
      </c>
      <c r="E36" s="1" t="str">
        <f>+'GASTOS GENERALES'!E62</f>
        <v xml:space="preserve">Prestación de servicios de mantenimiento preventivo y correctivo del parque automotor del IDEP con suministro de respuestos  </v>
      </c>
      <c r="F36" s="1">
        <f>+'GASTOS GENERALES'!F62</f>
        <v>78181500</v>
      </c>
      <c r="G36" s="1" t="str">
        <f>+'GASTOS GENERALES'!G62</f>
        <v>Profesional Universitario 219-02 Servicios Generales</v>
      </c>
      <c r="H36" s="1" t="str">
        <f>+'GASTOS GENERALES'!H62</f>
        <v>Subdirección Administrativa financiera</v>
      </c>
      <c r="I36" s="1" t="s">
        <v>505</v>
      </c>
      <c r="J36" s="1" t="str">
        <f>+'GASTOS GENERALES'!J62</f>
        <v>Noviembre</v>
      </c>
      <c r="K36" s="1"/>
      <c r="L36" s="1">
        <f>+'GASTOS GENERALES'!K62</f>
        <v>6</v>
      </c>
      <c r="M36" s="1" t="str">
        <f>+'GASTOS GENERALES'!L62</f>
        <v>MINIMA CUANTÍA</v>
      </c>
      <c r="N36" s="1" t="str">
        <f>+'GASTOS GENERALES'!M62</f>
        <v>Minima Cuantia</v>
      </c>
      <c r="O36" s="80">
        <f>+'GASTOS GENERALES'!N62</f>
        <v>3839425</v>
      </c>
      <c r="P36" s="117">
        <f>+'GASTOS GENERALES'!O62</f>
        <v>0</v>
      </c>
      <c r="Q36" s="70">
        <f>+'GASTOS GENERALES'!P62</f>
        <v>3839425</v>
      </c>
      <c r="R36" s="1">
        <f>+'GASTOS GENERALES'!Q62</f>
        <v>0</v>
      </c>
      <c r="S36" s="1">
        <f>+'GASTOS GENERALES'!R62</f>
        <v>0</v>
      </c>
      <c r="T36" s="1">
        <f>+'GASTOS GENERALES'!S62</f>
        <v>0</v>
      </c>
      <c r="U36" s="1">
        <f>+'GASTOS GENERALES'!T62</f>
        <v>0</v>
      </c>
      <c r="V36" s="2"/>
      <c r="W36" s="2"/>
      <c r="X36" s="2"/>
      <c r="Y36" s="1">
        <f>+'GASTOS GENERALES'!V62</f>
        <v>0</v>
      </c>
      <c r="Z36" s="1">
        <f>+'GASTOS GENERALES'!W62</f>
        <v>0</v>
      </c>
    </row>
    <row r="37" spans="1:26" ht="75" x14ac:dyDescent="0.25">
      <c r="A37" s="1" t="s">
        <v>293</v>
      </c>
      <c r="B37" s="1" t="s">
        <v>125</v>
      </c>
      <c r="C37" s="1">
        <f>+'GASTOS GENERALES'!C63</f>
        <v>194</v>
      </c>
      <c r="D37" s="1">
        <f>+'GASTOS GENERALES'!D63</f>
        <v>0</v>
      </c>
      <c r="E37" s="1" t="str">
        <f>+'GASTOS GENERALES'!E63</f>
        <v>Adición No. 1 del 2017 al contrato No. 31 de 2016 Prestación de los servicios de aseo y cafetería, con suministro de insumos, en las instalaciones del Instituto para la Investigación Educativa y el Desarrollo Pedagógico - IDEP.</v>
      </c>
      <c r="F37" s="1" t="str">
        <f>+'GASTOS GENERALES'!F63</f>
        <v>76111501
 95121503</v>
      </c>
      <c r="G37" s="1" t="str">
        <f>+'GASTOS GENERALES'!G63</f>
        <v>Profesional Universitario 219-02 Servicios Generales</v>
      </c>
      <c r="H37" s="1" t="str">
        <f>+'GASTOS GENERALES'!H63</f>
        <v>Subdirección Administrativa financiera</v>
      </c>
      <c r="I37" s="1" t="s">
        <v>505</v>
      </c>
      <c r="J37" s="1" t="s">
        <v>63</v>
      </c>
      <c r="K37" s="1"/>
      <c r="L37" s="1">
        <f>+'GASTOS GENERALES'!K63</f>
        <v>12</v>
      </c>
      <c r="M37" s="1">
        <f>+'GASTOS GENERALES'!L63</f>
        <v>0</v>
      </c>
      <c r="N37" s="1" t="str">
        <f>+'GASTOS GENERALES'!M63</f>
        <v>Selección
 Abreviada</v>
      </c>
      <c r="O37" s="80">
        <f>+'GASTOS GENERALES'!N63</f>
        <v>1135920</v>
      </c>
      <c r="P37" s="117">
        <f>+'GASTOS GENERALES'!O63</f>
        <v>0</v>
      </c>
      <c r="Q37" s="70">
        <f>+'GASTOS GENERALES'!P63</f>
        <v>1135920</v>
      </c>
      <c r="R37" s="1">
        <f>+'GASTOS GENERALES'!Q63</f>
        <v>1</v>
      </c>
      <c r="S37" s="1">
        <f>+'GASTOS GENERALES'!R63</f>
        <v>1135920</v>
      </c>
      <c r="T37" s="1">
        <f>+'GASTOS GENERALES'!S63</f>
        <v>0</v>
      </c>
      <c r="U37" s="1">
        <f>+'GASTOS GENERALES'!T63</f>
        <v>1135920</v>
      </c>
      <c r="V37" s="2">
        <f>+'GASTOS GENERALES'!U63</f>
        <v>42843</v>
      </c>
      <c r="W37" s="2" t="s">
        <v>63</v>
      </c>
      <c r="X37" s="2"/>
      <c r="Y37" s="1">
        <f>+'GASTOS GENERALES'!V63</f>
        <v>31</v>
      </c>
      <c r="Z37" s="1" t="str">
        <f>+'GASTOS GENERALES'!W63</f>
        <v>SERVIPROLUX</v>
      </c>
    </row>
    <row r="38" spans="1:26" ht="75" x14ac:dyDescent="0.25">
      <c r="A38" s="1" t="s">
        <v>293</v>
      </c>
      <c r="B38" s="1" t="s">
        <v>125</v>
      </c>
      <c r="C38" s="1">
        <f>+'GASTOS GENERALES'!C64</f>
        <v>255</v>
      </c>
      <c r="D38" s="1">
        <f>+'GASTOS GENERALES'!D64</f>
        <v>0</v>
      </c>
      <c r="E38" s="1" t="str">
        <f>+'GASTOS GENERALES'!E64</f>
        <v>Adición No. 2  del 2017 al contrato No. 31 de 2016 - Prestación de los servicios de aseo y cafetería, con suministro de insumos, en las instalaciones del Instituto para la Investigación Educativa y el Desarrollo Pedagógico - IDEP.</v>
      </c>
      <c r="F38" s="1" t="str">
        <f>+'GASTOS GENERALES'!F64</f>
        <v>76111501
 95121503</v>
      </c>
      <c r="G38" s="1" t="str">
        <f>+'GASTOS GENERALES'!G64</f>
        <v>Profesional Universitario 219-02 Servicios Generales</v>
      </c>
      <c r="H38" s="1" t="str">
        <f>+'GASTOS GENERALES'!H64</f>
        <v>Subdirección Administrativa financiera</v>
      </c>
      <c r="I38" s="1" t="s">
        <v>505</v>
      </c>
      <c r="J38" s="1" t="s">
        <v>63</v>
      </c>
      <c r="K38" s="1"/>
      <c r="L38" s="1" t="str">
        <f>+'GASTOS GENERALES'!K64</f>
        <v>15 días</v>
      </c>
      <c r="M38" s="1">
        <f>+'GASTOS GENERALES'!L64</f>
        <v>0</v>
      </c>
      <c r="N38" s="1">
        <f>+'GASTOS GENERALES'!M64</f>
        <v>0</v>
      </c>
      <c r="O38" s="80">
        <f>+'GASTOS GENERALES'!N64</f>
        <v>2044655</v>
      </c>
      <c r="P38" s="117">
        <f>+'GASTOS GENERALES'!O64</f>
        <v>0</v>
      </c>
      <c r="Q38" s="70">
        <f>+'GASTOS GENERALES'!P64</f>
        <v>2044655</v>
      </c>
      <c r="R38" s="1">
        <f>+'GASTOS GENERALES'!Q64</f>
        <v>1</v>
      </c>
      <c r="S38" s="1">
        <f>+'GASTOS GENERALES'!R64</f>
        <v>2044655</v>
      </c>
      <c r="T38" s="1">
        <f>+'GASTOS GENERALES'!S64</f>
        <v>0</v>
      </c>
      <c r="U38" s="1">
        <f>+'GASTOS GENERALES'!T64</f>
        <v>2044655</v>
      </c>
      <c r="V38" s="2">
        <f>+'GASTOS GENERALES'!U64</f>
        <v>42859</v>
      </c>
      <c r="W38" s="2" t="s">
        <v>56</v>
      </c>
      <c r="X38" s="2"/>
      <c r="Y38" s="1">
        <f>+'GASTOS GENERALES'!V64</f>
        <v>31</v>
      </c>
      <c r="Z38" s="1" t="str">
        <f>+'GASTOS GENERALES'!W64</f>
        <v>SERVIPROLUX</v>
      </c>
    </row>
    <row r="39" spans="1:26" ht="32.25" customHeight="1" x14ac:dyDescent="0.25">
      <c r="A39" s="1" t="s">
        <v>293</v>
      </c>
      <c r="B39" s="1" t="s">
        <v>125</v>
      </c>
      <c r="C39" s="1">
        <f>+'GASTOS GENERALES'!C65</f>
        <v>19</v>
      </c>
      <c r="D39" s="1">
        <f>+'GASTOS GENERALES'!D65</f>
        <v>0</v>
      </c>
      <c r="E39" s="1" t="str">
        <f>+'GASTOS GENERALES'!E65</f>
        <v xml:space="preserve">CAJA MENOR </v>
      </c>
      <c r="F39" s="1" t="str">
        <f>+'GASTOS GENERALES'!F65</f>
        <v>NO APLICA</v>
      </c>
      <c r="G39" s="1" t="str">
        <f>+'GASTOS GENERALES'!G65</f>
        <v>Técnico de Contabilidad</v>
      </c>
      <c r="H39" s="1" t="str">
        <f>+'GASTOS GENERALES'!H65</f>
        <v>Subdirección Administrativa financiera</v>
      </c>
      <c r="I39" s="1" t="s">
        <v>505</v>
      </c>
      <c r="J39" s="1" t="str">
        <f>+'GASTOS GENERALES'!J65</f>
        <v>Febrero</v>
      </c>
      <c r="K39" s="1"/>
      <c r="L39" s="1">
        <f>+'GASTOS GENERALES'!K65</f>
        <v>11</v>
      </c>
      <c r="M39" s="1" t="str">
        <f>+'GASTOS GENERALES'!L65</f>
        <v>NA</v>
      </c>
      <c r="N39" s="1" t="str">
        <f>+'GASTOS GENERALES'!M65</f>
        <v>Gastos
 Directos</v>
      </c>
      <c r="O39" s="80">
        <f>+'GASTOS GENERALES'!N65</f>
        <v>2750000</v>
      </c>
      <c r="P39" s="117">
        <f>+'GASTOS GENERALES'!O65</f>
        <v>0</v>
      </c>
      <c r="Q39" s="70">
        <f>+'GASTOS GENERALES'!P65</f>
        <v>2750000</v>
      </c>
      <c r="R39" s="1">
        <f>+'GASTOS GENERALES'!Q65</f>
        <v>0</v>
      </c>
      <c r="S39" s="1">
        <f>+'GASTOS GENERALES'!R65</f>
        <v>1000980</v>
      </c>
      <c r="T39" s="1">
        <f>+'GASTOS GENERALES'!S65</f>
        <v>0</v>
      </c>
      <c r="U39" s="1">
        <f>+'GASTOS GENERALES'!T65</f>
        <v>1000980</v>
      </c>
      <c r="V39" s="2"/>
      <c r="W39" s="2" t="str">
        <f>+J39</f>
        <v>Febrero</v>
      </c>
      <c r="X39" s="2"/>
      <c r="Y39" s="1">
        <f>+'GASTOS GENERALES'!V65</f>
        <v>0</v>
      </c>
      <c r="Z39" s="1">
        <f>+'GASTOS GENERALES'!W65</f>
        <v>0</v>
      </c>
    </row>
    <row r="40" spans="1:26" ht="105" x14ac:dyDescent="0.25">
      <c r="C40" s="1">
        <f>+'GASTOS GENERALES'!C68</f>
        <v>33</v>
      </c>
      <c r="D40" s="1">
        <f>+'GASTOS GENERALES'!D68</f>
        <v>37</v>
      </c>
      <c r="E40" s="1" t="str">
        <f>+'GASTOS GENERALES'!E68</f>
        <v>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v>
      </c>
      <c r="F40" s="1">
        <f>+'GASTOS GENERALES'!F68</f>
        <v>84131501</v>
      </c>
      <c r="G40" s="1" t="str">
        <f>+'GASTOS GENERALES'!G68</f>
        <v>Subdirector Administrativo Financiero</v>
      </c>
      <c r="H40" s="1" t="str">
        <f>+'GASTOS GENERALES'!H68</f>
        <v>Subdirección Administrativa financiera</v>
      </c>
      <c r="I40" s="1" t="s">
        <v>505</v>
      </c>
      <c r="J40" s="1" t="str">
        <f>+'GASTOS GENERALES'!J68</f>
        <v>octubre</v>
      </c>
      <c r="K40" s="1"/>
      <c r="L40" s="1">
        <f>+'GASTOS GENERALES'!K68</f>
        <v>12</v>
      </c>
      <c r="M40" s="1" t="str">
        <f>+'GASTOS GENERALES'!L68</f>
        <v>SELECCIÓN ABREVIADA - MENOR CUANTÍA</v>
      </c>
      <c r="N40" s="1" t="str">
        <f>+'GASTOS GENERALES'!M68</f>
        <v>Selección 
Abreviada</v>
      </c>
      <c r="O40" s="80">
        <f>+'GASTOS GENERALES'!N68</f>
        <v>59969759</v>
      </c>
      <c r="P40" s="117">
        <f>+'GASTOS GENERALES'!O68</f>
        <v>0</v>
      </c>
      <c r="Q40" s="70">
        <f>+'GASTOS GENERALES'!P68</f>
        <v>59969759</v>
      </c>
      <c r="R40" s="1">
        <f>+'GASTOS GENERALES'!Q68</f>
        <v>0</v>
      </c>
      <c r="S40" s="1">
        <f>+'GASTOS GENERALES'!R68</f>
        <v>59969759</v>
      </c>
      <c r="T40" s="1">
        <f>+'GASTOS GENERALES'!S68</f>
        <v>0</v>
      </c>
      <c r="U40" s="1">
        <f>+'GASTOS GENERALES'!T68</f>
        <v>59969759</v>
      </c>
      <c r="V40" s="2"/>
      <c r="W40" s="2"/>
      <c r="X40" s="2"/>
      <c r="Y40" s="1">
        <f>+'GASTOS GENERALES'!V68</f>
        <v>112</v>
      </c>
      <c r="Z40" s="1" t="str">
        <f>+'GASTOS GENERALES'!W68</f>
        <v>Aseguradora solidaria de colombia</v>
      </c>
    </row>
    <row r="41" spans="1:26" ht="75" x14ac:dyDescent="0.25">
      <c r="C41" s="1">
        <f>+'GASTOS GENERALES'!C73</f>
        <v>5</v>
      </c>
      <c r="D41" s="1">
        <f>+'GASTOS GENERALES'!D73</f>
        <v>0</v>
      </c>
      <c r="E41" s="1" t="str">
        <f>+'GASTOS GENERALES'!E73</f>
        <v>ENERGIA</v>
      </c>
      <c r="F41" s="1" t="str">
        <f>+'GASTOS GENERALES'!F73</f>
        <v xml:space="preserve"> NO APLICA</v>
      </c>
      <c r="G41" s="1" t="str">
        <f>+'GASTOS GENERALES'!G73</f>
        <v>Profesional Universitario 219-02 Servicios Generales</v>
      </c>
      <c r="H41" s="1" t="str">
        <f>+'GASTOS GENERALES'!H73</f>
        <v>Subdirección Administrativa financiera</v>
      </c>
      <c r="I41" s="1" t="s">
        <v>505</v>
      </c>
      <c r="J41" s="1" t="str">
        <f>+'GASTOS GENERALES'!J73</f>
        <v>Enero</v>
      </c>
      <c r="K41" s="1"/>
      <c r="L41" s="1">
        <f>+'GASTOS GENERALES'!K73</f>
        <v>12</v>
      </c>
      <c r="M41" s="1" t="str">
        <f>+'GASTOS GENERALES'!L73</f>
        <v>NA</v>
      </c>
      <c r="N41" s="1" t="str">
        <f>+'GASTOS GENERALES'!M73</f>
        <v>Gastos 
Directos</v>
      </c>
      <c r="O41" s="80">
        <f>+'GASTOS GENERALES'!N73</f>
        <v>25000000</v>
      </c>
      <c r="P41" s="117">
        <f>+'GASTOS GENERALES'!O73</f>
        <v>0</v>
      </c>
      <c r="Q41" s="70">
        <f>+'GASTOS GENERALES'!P73</f>
        <v>25000000</v>
      </c>
      <c r="R41" s="1">
        <f>+'GASTOS GENERALES'!Q73</f>
        <v>0</v>
      </c>
      <c r="S41" s="1">
        <f>+'GASTOS GENERALES'!R73</f>
        <v>19472030</v>
      </c>
      <c r="T41" s="1">
        <f>+'GASTOS GENERALES'!S73</f>
        <v>0</v>
      </c>
      <c r="U41" s="1">
        <f>+'GASTOS GENERALES'!T73</f>
        <v>19472030</v>
      </c>
      <c r="V41" s="2"/>
      <c r="W41" s="2" t="str">
        <f t="shared" ref="W41:W44" si="1">+J41</f>
        <v>Enero</v>
      </c>
      <c r="X41" s="2"/>
      <c r="Y41" s="1">
        <f>+'GASTOS GENERALES'!V73</f>
        <v>0</v>
      </c>
      <c r="Z41" s="1">
        <f>+'GASTOS GENERALES'!W73</f>
        <v>0</v>
      </c>
    </row>
    <row r="42" spans="1:26" ht="75" x14ac:dyDescent="0.25">
      <c r="C42" s="1">
        <f>+'GASTOS GENERALES'!C74</f>
        <v>5</v>
      </c>
      <c r="D42" s="1">
        <f>+'GASTOS GENERALES'!D74</f>
        <v>0</v>
      </c>
      <c r="E42" s="1" t="str">
        <f>+'GASTOS GENERALES'!E74</f>
        <v>ACUEDUCTO</v>
      </c>
      <c r="F42" s="1" t="str">
        <f>+'GASTOS GENERALES'!F74</f>
        <v xml:space="preserve"> NO APLICA</v>
      </c>
      <c r="G42" s="1" t="str">
        <f>+'GASTOS GENERALES'!G74</f>
        <v>Profesional Universitario 219-02 Servicios Generales</v>
      </c>
      <c r="H42" s="1" t="str">
        <f>+'GASTOS GENERALES'!H74</f>
        <v>Subdirección Administrativa financiera</v>
      </c>
      <c r="I42" s="1" t="s">
        <v>505</v>
      </c>
      <c r="J42" s="1" t="str">
        <f>+'GASTOS GENERALES'!J74</f>
        <v>Enero</v>
      </c>
      <c r="K42" s="1"/>
      <c r="L42" s="1">
        <f>+'GASTOS GENERALES'!K74</f>
        <v>12</v>
      </c>
      <c r="M42" s="1">
        <f>+'GASTOS GENERALES'!L74</f>
        <v>0</v>
      </c>
      <c r="N42" s="1" t="str">
        <f>+'GASTOS GENERALES'!M74</f>
        <v>Gastos 
Directos</v>
      </c>
      <c r="O42" s="80">
        <f>+'GASTOS GENERALES'!N74</f>
        <v>2575000</v>
      </c>
      <c r="P42" s="117">
        <f>+'GASTOS GENERALES'!O74</f>
        <v>0</v>
      </c>
      <c r="Q42" s="70">
        <f>+'GASTOS GENERALES'!P74</f>
        <v>2575000</v>
      </c>
      <c r="R42" s="1">
        <f>+'GASTOS GENERALES'!Q74</f>
        <v>0</v>
      </c>
      <c r="S42" s="1">
        <f>+'GASTOS GENERALES'!R74</f>
        <v>470790</v>
      </c>
      <c r="T42" s="1">
        <f>+'GASTOS GENERALES'!S74</f>
        <v>0</v>
      </c>
      <c r="U42" s="1">
        <f>+'GASTOS GENERALES'!T74</f>
        <v>470790</v>
      </c>
      <c r="V42" s="2"/>
      <c r="W42" s="2" t="str">
        <f t="shared" si="1"/>
        <v>Enero</v>
      </c>
      <c r="X42" s="2"/>
      <c r="Y42" s="1">
        <f>+'GASTOS GENERALES'!V74</f>
        <v>0</v>
      </c>
      <c r="Z42" s="1">
        <f>+'GASTOS GENERALES'!W74</f>
        <v>0</v>
      </c>
    </row>
    <row r="43" spans="1:26" ht="75" x14ac:dyDescent="0.25">
      <c r="C43" s="1">
        <f>+'GASTOS GENERALES'!C75</f>
        <v>5</v>
      </c>
      <c r="D43" s="1">
        <f>+'GASTOS GENERALES'!D75</f>
        <v>0</v>
      </c>
      <c r="E43" s="1" t="str">
        <f>+'GASTOS GENERALES'!E75</f>
        <v>ASEO</v>
      </c>
      <c r="F43" s="1" t="str">
        <f>+'GASTOS GENERALES'!F75</f>
        <v xml:space="preserve"> NO APLICA</v>
      </c>
      <c r="G43" s="1" t="str">
        <f>+'GASTOS GENERALES'!G75</f>
        <v>Profesional Universitario 219-02 Servicios Generales</v>
      </c>
      <c r="H43" s="1" t="str">
        <f>+'GASTOS GENERALES'!H75</f>
        <v>Subdirección Administrativa financiera</v>
      </c>
      <c r="I43" s="1" t="s">
        <v>505</v>
      </c>
      <c r="J43" s="1" t="str">
        <f>+'GASTOS GENERALES'!J75</f>
        <v>Enero</v>
      </c>
      <c r="K43" s="1"/>
      <c r="L43" s="1">
        <f>+'GASTOS GENERALES'!K75</f>
        <v>12</v>
      </c>
      <c r="M43" s="1">
        <f>+'GASTOS GENERALES'!L75</f>
        <v>0</v>
      </c>
      <c r="N43" s="1" t="str">
        <f>+'GASTOS GENERALES'!M75</f>
        <v>Gastos 
Directos</v>
      </c>
      <c r="O43" s="80">
        <f>+'GASTOS GENERALES'!N75</f>
        <v>4120000</v>
      </c>
      <c r="P43" s="117">
        <f>+'GASTOS GENERALES'!O75</f>
        <v>0</v>
      </c>
      <c r="Q43" s="70">
        <f>+'GASTOS GENERALES'!P75</f>
        <v>4120000</v>
      </c>
      <c r="R43" s="1">
        <f>+'GASTOS GENERALES'!Q75</f>
        <v>0</v>
      </c>
      <c r="S43" s="1">
        <f>+'GASTOS GENERALES'!R75</f>
        <v>599606</v>
      </c>
      <c r="T43" s="1">
        <f>+'GASTOS GENERALES'!S75</f>
        <v>0</v>
      </c>
      <c r="U43" s="1">
        <f>+'GASTOS GENERALES'!T75</f>
        <v>599606</v>
      </c>
      <c r="V43" s="2"/>
      <c r="W43" s="2" t="str">
        <f t="shared" si="1"/>
        <v>Enero</v>
      </c>
      <c r="X43" s="2"/>
      <c r="Y43" s="1">
        <f>+'GASTOS GENERALES'!V75</f>
        <v>0</v>
      </c>
      <c r="Z43" s="1">
        <f>+'GASTOS GENERALES'!W75</f>
        <v>0</v>
      </c>
    </row>
    <row r="44" spans="1:26" ht="75" x14ac:dyDescent="0.25">
      <c r="C44" s="1">
        <f>+'GASTOS GENERALES'!C76</f>
        <v>5</v>
      </c>
      <c r="D44" s="1">
        <f>+'GASTOS GENERALES'!D76</f>
        <v>0</v>
      </c>
      <c r="E44" s="1" t="str">
        <f>+'GASTOS GENERALES'!E76</f>
        <v>TELEFONOS</v>
      </c>
      <c r="F44" s="1" t="str">
        <f>+'GASTOS GENERALES'!F76</f>
        <v xml:space="preserve"> NO APLICA</v>
      </c>
      <c r="G44" s="1" t="str">
        <f>+'GASTOS GENERALES'!G76</f>
        <v>Profesional Universitario 219-02 Servicios Generales</v>
      </c>
      <c r="H44" s="1" t="str">
        <f>+'GASTOS GENERALES'!H76</f>
        <v>Subdirección Administrativa financiera</v>
      </c>
      <c r="I44" s="1" t="s">
        <v>505</v>
      </c>
      <c r="J44" s="1" t="str">
        <f>+'GASTOS GENERALES'!J76</f>
        <v>Enero</v>
      </c>
      <c r="K44" s="1"/>
      <c r="L44" s="1">
        <f>+'GASTOS GENERALES'!K76</f>
        <v>12</v>
      </c>
      <c r="M44" s="1">
        <f>+'GASTOS GENERALES'!L76</f>
        <v>0</v>
      </c>
      <c r="N44" s="1" t="str">
        <f>+'GASTOS GENERALES'!M76</f>
        <v>Gastos 
Directos</v>
      </c>
      <c r="O44" s="80">
        <f>+'GASTOS GENERALES'!N76</f>
        <v>23925000</v>
      </c>
      <c r="P44" s="117">
        <f>+'GASTOS GENERALES'!O76</f>
        <v>0</v>
      </c>
      <c r="Q44" s="70">
        <f>+'GASTOS GENERALES'!P76</f>
        <v>23925000</v>
      </c>
      <c r="R44" s="1">
        <f>+'GASTOS GENERALES'!Q76</f>
        <v>0</v>
      </c>
      <c r="S44" s="1">
        <f>+'GASTOS GENERALES'!R76</f>
        <v>14780120</v>
      </c>
      <c r="T44" s="1">
        <f>+'GASTOS GENERALES'!S76</f>
        <v>0</v>
      </c>
      <c r="U44" s="1">
        <f>+'GASTOS GENERALES'!T76</f>
        <v>14780120</v>
      </c>
      <c r="V44" s="2"/>
      <c r="W44" s="2" t="str">
        <f t="shared" si="1"/>
        <v>Enero</v>
      </c>
      <c r="X44" s="2"/>
      <c r="Y44" s="1">
        <f>+'GASTOS GENERALES'!V76</f>
        <v>0</v>
      </c>
      <c r="Z44" s="1">
        <f>+'GASTOS GENERALES'!W76</f>
        <v>0</v>
      </c>
    </row>
    <row r="45" spans="1:26" ht="45" x14ac:dyDescent="0.25">
      <c r="C45" s="1">
        <f>+'GASTOS GENERALES'!C78</f>
        <v>282</v>
      </c>
      <c r="D45" s="1">
        <f>+'GASTOS GENERALES'!D78</f>
        <v>38</v>
      </c>
      <c r="E45" s="1" t="str">
        <f>+'GASTOS GENERALES'!E78</f>
        <v>Prestación de servicios profesionales  para  realizar  la capacitación a los servidores y servidoras del  IDEP</v>
      </c>
      <c r="F45" s="1">
        <f>+'GASTOS GENERALES'!F78</f>
        <v>86101705</v>
      </c>
      <c r="G45" s="1" t="str">
        <f>+'GASTOS GENERALES'!G78</f>
        <v>Profesional Especializado 222-03</v>
      </c>
      <c r="H45" s="1" t="str">
        <f>+'GASTOS GENERALES'!H78</f>
        <v>Subdirección Administrativa financiera</v>
      </c>
      <c r="I45" s="1" t="s">
        <v>505</v>
      </c>
      <c r="J45" s="1" t="str">
        <f>+'GASTOS GENERALES'!J78</f>
        <v>Julio</v>
      </c>
      <c r="K45" s="1"/>
      <c r="L45" s="1">
        <f>+'GASTOS GENERALES'!K78</f>
        <v>2</v>
      </c>
      <c r="M45" s="1" t="str">
        <f>+'GASTOS GENERALES'!L78</f>
        <v>MINIMA CUANTÍA</v>
      </c>
      <c r="N45" s="1" t="str">
        <f>+'GASTOS GENERALES'!M78</f>
        <v>Minima cuantia</v>
      </c>
      <c r="O45" s="275">
        <f>+'GASTOS GENERALES'!N78</f>
        <v>12950000</v>
      </c>
      <c r="P45" s="117">
        <f>+'GASTOS GENERALES'!O78</f>
        <v>0</v>
      </c>
      <c r="Q45" s="70">
        <f>+'GASTOS GENERALES'!P78</f>
        <v>12950000</v>
      </c>
      <c r="R45" s="1">
        <f>+'GASTOS GENERALES'!Q78</f>
        <v>0</v>
      </c>
      <c r="S45" s="1">
        <f>+'GASTOS GENERALES'!R78</f>
        <v>12950000</v>
      </c>
      <c r="T45" s="1">
        <f>+'GASTOS GENERALES'!S78</f>
        <v>0</v>
      </c>
      <c r="U45" s="1">
        <f>+'GASTOS GENERALES'!T78</f>
        <v>12950000</v>
      </c>
      <c r="V45" s="2"/>
      <c r="W45" s="2"/>
      <c r="X45" s="2"/>
      <c r="Y45" s="1">
        <f>+'GASTOS GENERALES'!V78</f>
        <v>107</v>
      </c>
      <c r="Z45" s="1" t="str">
        <f>+'GASTOS GENERALES'!W78</f>
        <v>COMPENSAR</v>
      </c>
    </row>
    <row r="46" spans="1:26" ht="90" x14ac:dyDescent="0.25">
      <c r="C46" s="1">
        <f>+'GASTOS GENERALES'!C80</f>
        <v>35</v>
      </c>
      <c r="D46" s="1">
        <f>+'GASTOS GENERALES'!D80</f>
        <v>0</v>
      </c>
      <c r="E46" s="1" t="str">
        <f>+'GASTOS GENERALES'!E80</f>
        <v>Adquisición de bonos de bienestar para los funcionarios del IDEP para ser utilizados en víveres y/o alimentos</v>
      </c>
      <c r="F46" s="1">
        <f>+'GASTOS GENERALES'!F80</f>
        <v>93141506</v>
      </c>
      <c r="G46" s="1" t="str">
        <f>+'GASTOS GENERALES'!G80</f>
        <v>Profesional Especializado 222-03 
Área de Talento Humano</v>
      </c>
      <c r="H46" s="1" t="str">
        <f>+'GASTOS GENERALES'!H80</f>
        <v>Subdirección Administrativa financiera</v>
      </c>
      <c r="I46" s="1" t="s">
        <v>505</v>
      </c>
      <c r="J46" s="1" t="str">
        <f>+'GASTOS GENERALES'!J80</f>
        <v>Noviembre</v>
      </c>
      <c r="K46" s="1"/>
      <c r="L46" s="1">
        <f>+'GASTOS GENERALES'!K80</f>
        <v>1</v>
      </c>
      <c r="M46" s="1" t="str">
        <f>+'GASTOS GENERALES'!L80</f>
        <v>MINIMA CUANTÍA</v>
      </c>
      <c r="N46" s="1" t="str">
        <f>+'GASTOS GENERALES'!M80</f>
        <v>Minima Cuantia</v>
      </c>
      <c r="O46" s="80">
        <f>+'GASTOS GENERALES'!N80</f>
        <v>0</v>
      </c>
      <c r="P46" s="1">
        <f>+'GASTOS GENERALES'!O80</f>
        <v>0</v>
      </c>
      <c r="Q46" s="80">
        <f>+'GASTOS GENERALES'!P80</f>
        <v>0</v>
      </c>
      <c r="R46" s="1">
        <f>+'GASTOS GENERALES'!Q80</f>
        <v>0</v>
      </c>
      <c r="S46" s="1">
        <f>+'GASTOS GENERALES'!R80</f>
        <v>0</v>
      </c>
      <c r="T46" s="1">
        <f>+'GASTOS GENERALES'!S80</f>
        <v>0</v>
      </c>
      <c r="U46" s="1">
        <f>+'GASTOS GENERALES'!T80</f>
        <v>0</v>
      </c>
      <c r="V46" s="2"/>
      <c r="W46" s="2"/>
      <c r="X46" s="2"/>
      <c r="Y46" s="1">
        <f>+'GASTOS GENERALES'!V80</f>
        <v>0</v>
      </c>
      <c r="Z46" s="1">
        <f>+'GASTOS GENERALES'!W80</f>
        <v>0</v>
      </c>
    </row>
    <row r="47" spans="1:26" ht="90" x14ac:dyDescent="0.25">
      <c r="C47" s="1">
        <f>+'GASTOS GENERALES'!C81</f>
        <v>36</v>
      </c>
      <c r="D47" s="1">
        <f>+'GASTOS GENERALES'!D81</f>
        <v>0</v>
      </c>
      <c r="E47" s="1" t="str">
        <f>+'GASTOS GENERALES'!E81</f>
        <v>Adquisición de bonos de navidad para los hijos de los funcionarios del IDEP en edades comprendidas entre los cero (0) a trece (13) años para ser utilizados en juguetería y/o ropa infantil</v>
      </c>
      <c r="F47" s="1">
        <f>+'GASTOS GENERALES'!F81</f>
        <v>93141506</v>
      </c>
      <c r="G47" s="1" t="str">
        <f>+'GASTOS GENERALES'!G81</f>
        <v>Profesional Especializado 222-03 
Área de Talento Humano</v>
      </c>
      <c r="H47" s="1" t="str">
        <f>+'GASTOS GENERALES'!H81</f>
        <v>Profesional Especializado 222-03 
Área de Talento Humano</v>
      </c>
      <c r="I47" s="1" t="s">
        <v>505</v>
      </c>
      <c r="J47" s="1" t="str">
        <f>+'GASTOS GENERALES'!J81</f>
        <v>Noviembre</v>
      </c>
      <c r="K47" s="1"/>
      <c r="L47" s="1">
        <f>+'GASTOS GENERALES'!K81</f>
        <v>1</v>
      </c>
      <c r="M47" s="1" t="str">
        <f>+'GASTOS GENERALES'!L81</f>
        <v>MINIMA CUANTÍA</v>
      </c>
      <c r="N47" s="1" t="str">
        <f>+'GASTOS GENERALES'!M81</f>
        <v>Minima Cuantia</v>
      </c>
      <c r="O47" s="80">
        <f>+'GASTOS GENERALES'!N81</f>
        <v>0</v>
      </c>
      <c r="P47" s="1">
        <f>+'GASTOS GENERALES'!O81</f>
        <v>0</v>
      </c>
      <c r="Q47" s="80">
        <f>+'GASTOS GENERALES'!P81</f>
        <v>0</v>
      </c>
      <c r="R47" s="1">
        <f>+'GASTOS GENERALES'!Q81</f>
        <v>0</v>
      </c>
      <c r="S47" s="1">
        <f>+'GASTOS GENERALES'!R81</f>
        <v>0</v>
      </c>
      <c r="T47" s="1">
        <f>+'GASTOS GENERALES'!S81</f>
        <v>0</v>
      </c>
      <c r="U47" s="1">
        <f>+'GASTOS GENERALES'!T81</f>
        <v>0</v>
      </c>
      <c r="V47" s="2"/>
      <c r="W47" s="2"/>
      <c r="X47" s="2"/>
      <c r="Y47" s="1">
        <f>+'GASTOS GENERALES'!V81</f>
        <v>0</v>
      </c>
      <c r="Z47" s="1">
        <f>+'GASTOS GENERALES'!W81</f>
        <v>0</v>
      </c>
    </row>
    <row r="48" spans="1:26" ht="90" x14ac:dyDescent="0.25">
      <c r="C48" s="1">
        <f>+'GASTOS GENERALES'!C83</f>
        <v>37</v>
      </c>
      <c r="D48" s="1">
        <f>+'GASTOS GENERALES'!D83</f>
        <v>0</v>
      </c>
      <c r="E48" s="1" t="str">
        <f>+'GASTOS GENERALES'!E83</f>
        <v>Incentivos no pecuniarios</v>
      </c>
      <c r="F48" s="1" t="str">
        <f>+'GASTOS GENERALES'!F83</f>
        <v>NO APLICA</v>
      </c>
      <c r="G48" s="1" t="str">
        <f>+'GASTOS GENERALES'!G83</f>
        <v>Profesional Especializado 222-03 
Área de Talento Humano</v>
      </c>
      <c r="H48" s="1" t="str">
        <f>+'GASTOS GENERALES'!H83</f>
        <v>Subdirección Administrativa financiera</v>
      </c>
      <c r="I48" s="1" t="s">
        <v>505</v>
      </c>
      <c r="J48" s="1" t="str">
        <f>+'GASTOS GENERALES'!J83</f>
        <v>Junio</v>
      </c>
      <c r="K48" s="1"/>
      <c r="L48" s="1">
        <f>+'GASTOS GENERALES'!K83</f>
        <v>1</v>
      </c>
      <c r="M48" s="1" t="str">
        <f>+'GASTOS GENERALES'!L83</f>
        <v>NA</v>
      </c>
      <c r="N48" s="1" t="str">
        <f>+'GASTOS GENERALES'!M83</f>
        <v>Gastos
 Directos</v>
      </c>
      <c r="O48" s="80">
        <f>+'GASTOS GENERALES'!N83</f>
        <v>4500000</v>
      </c>
      <c r="P48" s="1">
        <f>+'GASTOS GENERALES'!O83</f>
        <v>0</v>
      </c>
      <c r="Q48" s="80">
        <f>+'GASTOS GENERALES'!P83</f>
        <v>4500000</v>
      </c>
      <c r="R48" s="1">
        <f>+'GASTOS GENERALES'!Q83</f>
        <v>0</v>
      </c>
      <c r="S48" s="1">
        <f>+'GASTOS GENERALES'!R83</f>
        <v>4500000</v>
      </c>
      <c r="T48" s="1">
        <f>+'GASTOS GENERALES'!S83</f>
        <v>0</v>
      </c>
      <c r="U48" s="1">
        <f>+'GASTOS GENERALES'!T83</f>
        <v>4500000</v>
      </c>
      <c r="V48" s="2"/>
      <c r="W48" s="2"/>
      <c r="X48" s="2"/>
      <c r="Y48" s="1" t="str">
        <f>+'GASTOS GENERALES'!V83</f>
        <v>PAGOS DIRECTOS</v>
      </c>
      <c r="Z48" s="1">
        <f>+'GASTOS GENERALES'!W83</f>
        <v>0</v>
      </c>
    </row>
    <row r="49" spans="3:26" ht="90" x14ac:dyDescent="0.25">
      <c r="C49" s="1">
        <f>+'GASTOS GENERALES'!C84</f>
        <v>271</v>
      </c>
      <c r="D49" s="1">
        <f>+'GASTOS GENERALES'!D84</f>
        <v>40</v>
      </c>
      <c r="E49" s="1" t="str">
        <f>+'GASTOS GENERALES'!E84</f>
        <v>Servicio de apoyo logístico para la realización de actividades recreativas para los hijos de los funcionarios las cuales tienen como fin contribuir al fortalecimiento de los procesos motivacionales, actitudinales y comportamentales de los servidores públicos.</v>
      </c>
      <c r="F49" s="1">
        <f>+'GASTOS GENERALES'!F84</f>
        <v>93141506</v>
      </c>
      <c r="G49" s="1" t="str">
        <f>+'GASTOS GENERALES'!G84</f>
        <v>Profesional Especializado 222-03 
Área de Talento Humano</v>
      </c>
      <c r="H49" s="1" t="str">
        <f>+'GASTOS GENERALES'!H84</f>
        <v>Subdirección Administrativa financiera</v>
      </c>
      <c r="I49" s="1" t="s">
        <v>505</v>
      </c>
      <c r="J49" s="1" t="str">
        <f>+'GASTOS GENERALES'!J84</f>
        <v>junio</v>
      </c>
      <c r="K49" s="1"/>
      <c r="L49" s="1">
        <f>+'GASTOS GENERALES'!K84</f>
        <v>1</v>
      </c>
      <c r="M49" s="1" t="str">
        <f>+'GASTOS GENERALES'!L84</f>
        <v>DIRECTA</v>
      </c>
      <c r="N49" s="1" t="str">
        <f>+'GASTOS GENERALES'!M84</f>
        <v>Contratación
 Directa</v>
      </c>
      <c r="O49" s="80">
        <f>+'GASTOS GENERALES'!N84</f>
        <v>7500000</v>
      </c>
      <c r="P49" s="1">
        <f>+'GASTOS GENERALES'!O84</f>
        <v>0</v>
      </c>
      <c r="Q49" s="80">
        <f>+'GASTOS GENERALES'!P84</f>
        <v>7500000</v>
      </c>
      <c r="R49" s="1">
        <f>+'GASTOS GENERALES'!Q84</f>
        <v>1</v>
      </c>
      <c r="S49" s="1">
        <f>+'GASTOS GENERALES'!R84</f>
        <v>7500000</v>
      </c>
      <c r="T49" s="1">
        <f>+'GASTOS GENERALES'!S84</f>
        <v>0</v>
      </c>
      <c r="U49" s="1">
        <f>+'GASTOS GENERALES'!T84</f>
        <v>7500000</v>
      </c>
      <c r="V49" s="2"/>
      <c r="W49" s="2"/>
      <c r="X49" s="2"/>
      <c r="Y49" s="1">
        <f>+'GASTOS GENERALES'!V84</f>
        <v>91</v>
      </c>
      <c r="Z49" s="1" t="str">
        <f>+'GASTOS GENERALES'!W84</f>
        <v>COMPENSAR</v>
      </c>
    </row>
    <row r="50" spans="3:26" ht="90" x14ac:dyDescent="0.25">
      <c r="C50" s="1">
        <f>+'GASTOS GENERALES'!C86</f>
        <v>283</v>
      </c>
      <c r="D50" s="1">
        <f>+'GASTOS GENERALES'!D86</f>
        <v>41</v>
      </c>
      <c r="E50" s="1" t="str">
        <f>+'GASTOS GENERALES'!E86</f>
        <v>Prestación de servicios para realizar los exámenes médico ocupacionales para los servidores del IDEP.</v>
      </c>
      <c r="F50" s="1">
        <f>+'GASTOS GENERALES'!F86</f>
        <v>93141808</v>
      </c>
      <c r="G50" s="1" t="str">
        <f>+'GASTOS GENERALES'!G86</f>
        <v>Profesional Especializado 222-03 
Área de Talento Humano</v>
      </c>
      <c r="H50" s="1" t="str">
        <f>+'GASTOS GENERALES'!H86</f>
        <v>Subdirección Administrativa financiera</v>
      </c>
      <c r="I50" s="1" t="s">
        <v>505</v>
      </c>
      <c r="J50" s="1" t="str">
        <f>+'GASTOS GENERALES'!J86</f>
        <v>Junio</v>
      </c>
      <c r="K50" s="1"/>
      <c r="L50" s="1">
        <f>+'GASTOS GENERALES'!K86</f>
        <v>2</v>
      </c>
      <c r="M50" s="1" t="str">
        <f>+'GASTOS GENERALES'!L86</f>
        <v>Mínima Cuantía</v>
      </c>
      <c r="N50" s="1" t="str">
        <f>+'GASTOS GENERALES'!M86</f>
        <v>Minima Cuantia</v>
      </c>
      <c r="O50" s="80">
        <f>+'GASTOS GENERALES'!N86</f>
        <v>3219000</v>
      </c>
      <c r="P50" s="1">
        <f>+'GASTOS GENERALES'!O86</f>
        <v>0</v>
      </c>
      <c r="Q50" s="80">
        <f>+'GASTOS GENERALES'!P86</f>
        <v>3219000</v>
      </c>
      <c r="R50" s="1">
        <f>+'GASTOS GENERALES'!Q86</f>
        <v>1</v>
      </c>
      <c r="S50" s="1">
        <f>+'GASTOS GENERALES'!R86</f>
        <v>3219000</v>
      </c>
      <c r="T50" s="1">
        <f>+'GASTOS GENERALES'!S86</f>
        <v>0</v>
      </c>
      <c r="U50" s="1">
        <f>+'GASTOS GENERALES'!T86</f>
        <v>3219000</v>
      </c>
      <c r="V50" s="2"/>
      <c r="W50" s="2"/>
      <c r="X50" s="2"/>
      <c r="Y50" s="1">
        <f>+'GASTOS GENERALES'!V86</f>
        <v>97</v>
      </c>
      <c r="Z50" s="1" t="str">
        <f>+'GASTOS GENERALES'!W86</f>
        <v>Servicios de eventos y ventas con tecnología S.A.S</v>
      </c>
    </row>
    <row r="51" spans="3:26" ht="45" x14ac:dyDescent="0.25">
      <c r="C51" s="1">
        <f>+'GASTOS GENERALES'!C90</f>
        <v>4</v>
      </c>
      <c r="D51" s="1">
        <f>+'GASTOS GENERALES'!D90</f>
        <v>0</v>
      </c>
      <c r="E51" s="1" t="str">
        <f>+'GASTOS GENERALES'!E90</f>
        <v>Cancelación de impuestos, tasas, contribuciones, derechos y multas</v>
      </c>
      <c r="F51" s="1" t="str">
        <f>+'GASTOS GENERALES'!F90</f>
        <v>NO APLICA</v>
      </c>
      <c r="G51" s="1" t="str">
        <f>+'GASTOS GENERALES'!G90</f>
        <v>Profesional Especializado 222-04</v>
      </c>
      <c r="H51" s="1" t="str">
        <f>+'GASTOS GENERALES'!H90</f>
        <v>Subdirección Administrativa financiera</v>
      </c>
      <c r="I51" s="1" t="s">
        <v>505</v>
      </c>
      <c r="J51" s="1" t="str">
        <f>+'GASTOS GENERALES'!J90</f>
        <v>junio</v>
      </c>
      <c r="K51" s="1"/>
      <c r="L51" s="1">
        <f>+'GASTOS GENERALES'!K90</f>
        <v>12</v>
      </c>
      <c r="M51" s="1" t="str">
        <f>+'GASTOS GENERALES'!L90</f>
        <v>NA</v>
      </c>
      <c r="N51" s="1" t="str">
        <f>+'GASTOS GENERALES'!M90</f>
        <v>Gastos
 Directos</v>
      </c>
      <c r="O51" s="80">
        <f>+'GASTOS GENERALES'!N90</f>
        <v>426000</v>
      </c>
      <c r="P51" s="1">
        <f>+'GASTOS GENERALES'!O90</f>
        <v>0</v>
      </c>
      <c r="Q51" s="80">
        <f>+'GASTOS GENERALES'!P90</f>
        <v>426000</v>
      </c>
      <c r="R51" s="1">
        <f>+'GASTOS GENERALES'!Q90</f>
        <v>0</v>
      </c>
      <c r="S51" s="1">
        <f>+'GASTOS GENERALES'!R90</f>
        <v>98000</v>
      </c>
      <c r="T51" s="1">
        <f>+'GASTOS GENERALES'!S90</f>
        <v>0</v>
      </c>
      <c r="U51" s="1">
        <f>+'GASTOS GENERALES'!T90</f>
        <v>98000</v>
      </c>
      <c r="V51" s="2"/>
      <c r="W51" s="2" t="s">
        <v>56</v>
      </c>
      <c r="X51" s="2"/>
      <c r="Y51" s="1">
        <f>+'GASTOS GENERALES'!V90</f>
        <v>0</v>
      </c>
      <c r="Z51" s="1">
        <f>+'GASTOS GENERALES'!W90</f>
        <v>0</v>
      </c>
    </row>
    <row r="52" spans="3:26" x14ac:dyDescent="0.25">
      <c r="O52" s="122" t="e">
        <f>SUM(O2:O51)</f>
        <v>#REF!</v>
      </c>
      <c r="P52" s="122" t="e">
        <f t="shared" ref="P52:T52" si="2">SUM(P2:P51)</f>
        <v>#REF!</v>
      </c>
      <c r="Q52" s="122" t="e">
        <f t="shared" si="2"/>
        <v>#REF!</v>
      </c>
      <c r="R52" s="122" t="e">
        <f t="shared" si="2"/>
        <v>#REF!</v>
      </c>
      <c r="S52" s="122" t="e">
        <f t="shared" si="2"/>
        <v>#REF!</v>
      </c>
      <c r="T52" s="122" t="e">
        <f t="shared" si="2"/>
        <v>#REF!</v>
      </c>
      <c r="U52" s="122" t="e">
        <f>SUM(U2:U51)</f>
        <v>#REF!</v>
      </c>
    </row>
  </sheetData>
  <autoFilter ref="A1:Z5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6</vt:i4>
      </vt:variant>
    </vt:vector>
  </HeadingPairs>
  <TitlesOfParts>
    <vt:vector size="20" baseType="lpstr">
      <vt:lpstr>Plan de Adquisiciones </vt:lpstr>
      <vt:lpstr>GASTOS GENERALES</vt:lpstr>
      <vt:lpstr>ejecución</vt:lpstr>
      <vt:lpstr>SECOP II</vt:lpstr>
      <vt:lpstr>cronograma</vt:lpstr>
      <vt:lpstr>plan de acción</vt:lpstr>
      <vt:lpstr>TD Inversión</vt:lpstr>
      <vt:lpstr>TD Gastos Generales</vt:lpstr>
      <vt:lpstr>GG.</vt:lpstr>
      <vt:lpstr>INVERSIÓN.</vt:lpstr>
      <vt:lpstr>GG</vt:lpstr>
      <vt:lpstr>INVERSIÓN</vt:lpstr>
      <vt:lpstr>PARA IMPRIMIR</vt:lpstr>
      <vt:lpstr>Hoja4</vt:lpstr>
      <vt:lpstr>'GASTOS GENERALES'!Área_de_impresión</vt:lpstr>
      <vt:lpstr>'PARA IMPRIMIR'!Área_de_impresión</vt:lpstr>
      <vt:lpstr>'Plan de Adquisiciones '!Área_de_impresión</vt:lpstr>
      <vt:lpstr>'GASTOS GENERALES'!Títulos_a_imprimir</vt:lpstr>
      <vt:lpstr>'PARA IMPRIMIR'!Títulos_a_imprimir</vt:lpstr>
      <vt:lpstr>'Plan de Adquisiciones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Martha Cecilia Quintero Barreiro</cp:lastModifiedBy>
  <cp:lastPrinted>2017-11-21T15:19:10Z</cp:lastPrinted>
  <dcterms:created xsi:type="dcterms:W3CDTF">2016-05-18T20:45:42Z</dcterms:created>
  <dcterms:modified xsi:type="dcterms:W3CDTF">2017-12-20T20:21:02Z</dcterms:modified>
</cp:coreProperties>
</file>